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difr\Desktop\CDC\Agriculture\RegisteredBreeders\"/>
    </mc:Choice>
  </mc:AlternateContent>
  <bookViews>
    <workbookView xWindow="0" yWindow="0" windowWidth="22716" windowHeight="8352"/>
  </bookViews>
  <sheets>
    <sheet name="DataToExce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7" i="1" l="1"/>
  <c r="J17" i="1"/>
  <c r="H17" i="1"/>
  <c r="A17" i="1"/>
  <c r="P357" i="1"/>
  <c r="J357" i="1"/>
  <c r="H357" i="1"/>
  <c r="A357" i="1"/>
  <c r="P16" i="1"/>
  <c r="J16" i="1"/>
  <c r="H16" i="1"/>
  <c r="A16" i="1"/>
  <c r="P15" i="1"/>
  <c r="J15" i="1"/>
  <c r="H15" i="1"/>
  <c r="A15" i="1"/>
  <c r="P14" i="1"/>
  <c r="J14" i="1"/>
  <c r="H14" i="1"/>
  <c r="A14" i="1"/>
  <c r="P224" i="1"/>
  <c r="J224" i="1"/>
  <c r="H224" i="1"/>
  <c r="A224" i="1"/>
  <c r="P13" i="1"/>
  <c r="J13" i="1"/>
  <c r="H13" i="1"/>
  <c r="A13" i="1"/>
  <c r="P12" i="1"/>
  <c r="J12" i="1"/>
  <c r="H12" i="1"/>
  <c r="A12" i="1"/>
  <c r="P292" i="1"/>
  <c r="J292" i="1"/>
  <c r="H292" i="1"/>
  <c r="A292" i="1"/>
  <c r="P187" i="1"/>
  <c r="J187" i="1"/>
  <c r="H187" i="1"/>
  <c r="A187" i="1"/>
  <c r="P11" i="1"/>
  <c r="J11" i="1"/>
  <c r="H11" i="1"/>
  <c r="A11" i="1"/>
  <c r="P155" i="1"/>
  <c r="J155" i="1"/>
  <c r="H155" i="1"/>
  <c r="A155" i="1"/>
  <c r="P356" i="1"/>
  <c r="J356" i="1"/>
  <c r="H356" i="1"/>
  <c r="A356" i="1"/>
  <c r="P302" i="1"/>
  <c r="J302" i="1"/>
  <c r="H302" i="1"/>
  <c r="A302" i="1"/>
  <c r="P246" i="1"/>
  <c r="J246" i="1"/>
  <c r="H246" i="1"/>
  <c r="A246" i="1"/>
  <c r="P381" i="1"/>
  <c r="J381" i="1"/>
  <c r="H381" i="1"/>
  <c r="A381" i="1"/>
  <c r="P10" i="1"/>
  <c r="J10" i="1"/>
  <c r="H10" i="1"/>
  <c r="A10" i="1"/>
  <c r="P245" i="1"/>
  <c r="J245" i="1"/>
  <c r="H245" i="1"/>
  <c r="A245" i="1"/>
  <c r="P57" i="1"/>
  <c r="J57" i="1"/>
  <c r="H57" i="1"/>
  <c r="A57" i="1"/>
  <c r="P111" i="1"/>
  <c r="J111" i="1"/>
  <c r="H111" i="1"/>
  <c r="A111" i="1"/>
  <c r="P210" i="1"/>
  <c r="J210" i="1"/>
  <c r="H210" i="1"/>
  <c r="A210" i="1"/>
  <c r="P288" i="1"/>
  <c r="J288" i="1"/>
  <c r="H288" i="1"/>
  <c r="A288" i="1"/>
  <c r="P41" i="1"/>
  <c r="J41" i="1"/>
  <c r="H41" i="1"/>
  <c r="A41" i="1"/>
  <c r="P166" i="1"/>
  <c r="J166" i="1"/>
  <c r="H166" i="1"/>
  <c r="A166" i="1"/>
  <c r="P262" i="1"/>
  <c r="J262" i="1"/>
  <c r="H262" i="1"/>
  <c r="A262" i="1"/>
  <c r="P389" i="1"/>
  <c r="J389" i="1"/>
  <c r="H389" i="1"/>
  <c r="A389" i="1"/>
  <c r="P204" i="1"/>
  <c r="J204" i="1"/>
  <c r="H204" i="1"/>
  <c r="A204" i="1"/>
  <c r="P22" i="1"/>
  <c r="J22" i="1"/>
  <c r="H22" i="1"/>
  <c r="A22" i="1"/>
  <c r="P332" i="1"/>
  <c r="J332" i="1"/>
  <c r="H332" i="1"/>
  <c r="A332" i="1"/>
  <c r="P223" i="1"/>
  <c r="J223" i="1"/>
  <c r="H223" i="1"/>
  <c r="A223" i="1"/>
  <c r="P123" i="1"/>
  <c r="J123" i="1"/>
  <c r="H123" i="1"/>
  <c r="A123" i="1"/>
  <c r="P380" i="1"/>
  <c r="J380" i="1"/>
  <c r="H380" i="1"/>
  <c r="A380" i="1"/>
  <c r="P49" i="1"/>
  <c r="J49" i="1"/>
  <c r="H49" i="1"/>
  <c r="A49" i="1"/>
  <c r="P392" i="1"/>
  <c r="J392" i="1"/>
  <c r="H392" i="1"/>
  <c r="A392" i="1"/>
  <c r="P141" i="1"/>
  <c r="J141" i="1"/>
  <c r="H141" i="1"/>
  <c r="A141" i="1"/>
  <c r="P110" i="1"/>
  <c r="J110" i="1"/>
  <c r="H110" i="1"/>
  <c r="A110" i="1"/>
  <c r="P274" i="1"/>
  <c r="J274" i="1"/>
  <c r="H274" i="1"/>
  <c r="A274" i="1"/>
  <c r="P260" i="1"/>
  <c r="J260" i="1"/>
  <c r="H260" i="1"/>
  <c r="A260" i="1"/>
  <c r="P203" i="1"/>
  <c r="J203" i="1"/>
  <c r="H203" i="1"/>
  <c r="A203" i="1"/>
  <c r="P294" i="1"/>
  <c r="J294" i="1"/>
  <c r="H294" i="1"/>
  <c r="A294" i="1"/>
  <c r="P140" i="1"/>
  <c r="J140" i="1"/>
  <c r="H140" i="1"/>
  <c r="A140" i="1"/>
  <c r="P39" i="1"/>
  <c r="J39" i="1"/>
  <c r="H39" i="1"/>
  <c r="A39" i="1"/>
  <c r="P278" i="1"/>
  <c r="J278" i="1"/>
  <c r="H278" i="1"/>
  <c r="A278" i="1"/>
  <c r="P306" i="1"/>
  <c r="J306" i="1"/>
  <c r="H306" i="1"/>
  <c r="A306" i="1"/>
  <c r="P139" i="1"/>
  <c r="J139" i="1"/>
  <c r="H139" i="1"/>
  <c r="A139" i="1"/>
  <c r="P86" i="1"/>
  <c r="J86" i="1"/>
  <c r="H86" i="1"/>
  <c r="A86" i="1"/>
  <c r="P355" i="1"/>
  <c r="J355" i="1"/>
  <c r="H355" i="1"/>
  <c r="A355" i="1"/>
  <c r="P125" i="1"/>
  <c r="J125" i="1"/>
  <c r="H125" i="1"/>
  <c r="A125" i="1"/>
  <c r="P341" i="1"/>
  <c r="J341" i="1"/>
  <c r="H341" i="1"/>
  <c r="A341" i="1"/>
  <c r="P85" i="1"/>
  <c r="J85" i="1"/>
  <c r="H85" i="1"/>
  <c r="A85" i="1"/>
  <c r="P48" i="1"/>
  <c r="J48" i="1"/>
  <c r="H48" i="1"/>
  <c r="A48" i="1"/>
  <c r="P138" i="1"/>
  <c r="J138" i="1"/>
  <c r="H138" i="1"/>
  <c r="A138" i="1"/>
  <c r="P319" i="1"/>
  <c r="J319" i="1"/>
  <c r="H319" i="1"/>
  <c r="A319" i="1"/>
  <c r="P128" i="1"/>
  <c r="J128" i="1"/>
  <c r="H128" i="1"/>
  <c r="A128" i="1"/>
  <c r="P129" i="1"/>
  <c r="J129" i="1"/>
  <c r="H129" i="1"/>
  <c r="A129" i="1"/>
  <c r="P56" i="1"/>
  <c r="J56" i="1"/>
  <c r="H56" i="1"/>
  <c r="A56" i="1"/>
  <c r="P379" i="1"/>
  <c r="J379" i="1"/>
  <c r="H379" i="1"/>
  <c r="A379" i="1"/>
  <c r="P109" i="1"/>
  <c r="J109" i="1"/>
  <c r="H109" i="1"/>
  <c r="A109" i="1"/>
  <c r="P185" i="1"/>
  <c r="J185" i="1"/>
  <c r="H185" i="1"/>
  <c r="A185" i="1"/>
  <c r="P351" i="1"/>
  <c r="J351" i="1"/>
  <c r="H351" i="1"/>
  <c r="A351" i="1"/>
  <c r="P325" i="1"/>
  <c r="J325" i="1"/>
  <c r="H325" i="1"/>
  <c r="A325" i="1"/>
  <c r="P202" i="1"/>
  <c r="J202" i="1"/>
  <c r="H202" i="1"/>
  <c r="A202" i="1"/>
  <c r="P205" i="1"/>
  <c r="J205" i="1"/>
  <c r="H205" i="1"/>
  <c r="A205" i="1"/>
  <c r="P55" i="1"/>
  <c r="J55" i="1"/>
  <c r="H55" i="1"/>
  <c r="A55" i="1"/>
  <c r="P34" i="1"/>
  <c r="J34" i="1"/>
  <c r="H34" i="1"/>
  <c r="A34" i="1"/>
  <c r="P331" i="1"/>
  <c r="J331" i="1"/>
  <c r="H331" i="1"/>
  <c r="A331" i="1"/>
  <c r="P165" i="1"/>
  <c r="J165" i="1"/>
  <c r="H165" i="1"/>
  <c r="A165" i="1"/>
  <c r="P84" i="1"/>
  <c r="J84" i="1"/>
  <c r="H84" i="1"/>
  <c r="A84" i="1"/>
  <c r="P108" i="1"/>
  <c r="J108" i="1"/>
  <c r="H108" i="1"/>
  <c r="A108" i="1"/>
  <c r="P327" i="1"/>
  <c r="J327" i="1"/>
  <c r="H327" i="1"/>
  <c r="A327" i="1"/>
  <c r="P287" i="1"/>
  <c r="J287" i="1"/>
  <c r="H287" i="1"/>
  <c r="A287" i="1"/>
  <c r="P137" i="1"/>
  <c r="J137" i="1"/>
  <c r="H137" i="1"/>
  <c r="A137" i="1"/>
  <c r="P315" i="1"/>
  <c r="J315" i="1"/>
  <c r="H315" i="1"/>
  <c r="A315" i="1"/>
  <c r="P201" i="1"/>
  <c r="J201" i="1"/>
  <c r="H201" i="1"/>
  <c r="A201" i="1"/>
  <c r="P107" i="1"/>
  <c r="J107" i="1"/>
  <c r="H107" i="1"/>
  <c r="A107" i="1"/>
  <c r="P143" i="1"/>
  <c r="J143" i="1"/>
  <c r="H143" i="1"/>
  <c r="A143" i="1"/>
  <c r="P258" i="1"/>
  <c r="J258" i="1"/>
  <c r="H258" i="1"/>
  <c r="A258" i="1"/>
  <c r="P38" i="1"/>
  <c r="J38" i="1"/>
  <c r="H38" i="1"/>
  <c r="A38" i="1"/>
  <c r="P362" i="1"/>
  <c r="J362" i="1"/>
  <c r="H362" i="1"/>
  <c r="A362" i="1"/>
  <c r="P131" i="1"/>
  <c r="J131" i="1"/>
  <c r="H131" i="1"/>
  <c r="A131" i="1"/>
  <c r="P192" i="1"/>
  <c r="J192" i="1"/>
  <c r="H192" i="1"/>
  <c r="A192" i="1"/>
  <c r="P83" i="1"/>
  <c r="J83" i="1"/>
  <c r="H83" i="1"/>
  <c r="A83" i="1"/>
  <c r="P33" i="1"/>
  <c r="J33" i="1"/>
  <c r="H33" i="1"/>
  <c r="A33" i="1"/>
  <c r="P259" i="1"/>
  <c r="J259" i="1"/>
  <c r="H259" i="1"/>
  <c r="A259" i="1"/>
  <c r="P334" i="1"/>
  <c r="J334" i="1"/>
  <c r="H334" i="1"/>
  <c r="A334" i="1"/>
  <c r="P106" i="1"/>
  <c r="J106" i="1"/>
  <c r="H106" i="1"/>
  <c r="A106" i="1"/>
  <c r="P242" i="1"/>
  <c r="J242" i="1"/>
  <c r="H242" i="1"/>
  <c r="A242" i="1"/>
  <c r="P373" i="1"/>
  <c r="J373" i="1"/>
  <c r="H373" i="1"/>
  <c r="A373" i="1"/>
  <c r="P9" i="1"/>
  <c r="J9" i="1"/>
  <c r="H9" i="1"/>
  <c r="A9" i="1"/>
  <c r="P200" i="1"/>
  <c r="J200" i="1"/>
  <c r="H200" i="1"/>
  <c r="A200" i="1"/>
  <c r="P124" i="1"/>
  <c r="J124" i="1"/>
  <c r="H124" i="1"/>
  <c r="A124" i="1"/>
  <c r="P340" i="1"/>
  <c r="J340" i="1"/>
  <c r="H340" i="1"/>
  <c r="A340" i="1"/>
  <c r="P105" i="1"/>
  <c r="J105" i="1"/>
  <c r="H105" i="1"/>
  <c r="A105" i="1"/>
  <c r="P82" i="1"/>
  <c r="J82" i="1"/>
  <c r="H82" i="1"/>
  <c r="A82" i="1"/>
  <c r="P104" i="1"/>
  <c r="J104" i="1"/>
  <c r="H104" i="1"/>
  <c r="A104" i="1"/>
  <c r="P388" i="1"/>
  <c r="J388" i="1"/>
  <c r="H388" i="1"/>
  <c r="A388" i="1"/>
  <c r="P358" i="1"/>
  <c r="J358" i="1"/>
  <c r="H358" i="1"/>
  <c r="A358" i="1"/>
  <c r="P291" i="1"/>
  <c r="J291" i="1"/>
  <c r="H291" i="1"/>
  <c r="A291" i="1"/>
  <c r="P212" i="1"/>
  <c r="J212" i="1"/>
  <c r="H212" i="1"/>
  <c r="A212" i="1"/>
  <c r="P304" i="1"/>
  <c r="J304" i="1"/>
  <c r="H304" i="1"/>
  <c r="A304" i="1"/>
  <c r="P387" i="1"/>
  <c r="J387" i="1"/>
  <c r="H387" i="1"/>
  <c r="A387" i="1"/>
  <c r="P25" i="1"/>
  <c r="J25" i="1"/>
  <c r="H25" i="1"/>
  <c r="A25" i="1"/>
  <c r="P233" i="1"/>
  <c r="J233" i="1"/>
  <c r="H233" i="1"/>
  <c r="A233" i="1"/>
  <c r="P222" i="1"/>
  <c r="J222" i="1"/>
  <c r="H222" i="1"/>
  <c r="A222" i="1"/>
  <c r="P47" i="1"/>
  <c r="J47" i="1"/>
  <c r="H47" i="1"/>
  <c r="A47" i="1"/>
  <c r="P69" i="1"/>
  <c r="J69" i="1"/>
  <c r="H69" i="1"/>
  <c r="A69" i="1"/>
  <c r="P247" i="1"/>
  <c r="J247" i="1"/>
  <c r="H247" i="1"/>
  <c r="A247" i="1"/>
  <c r="P378" i="1"/>
  <c r="J378" i="1"/>
  <c r="H378" i="1"/>
  <c r="A378" i="1"/>
  <c r="P199" i="1"/>
  <c r="J199" i="1"/>
  <c r="H199" i="1"/>
  <c r="A199" i="1"/>
  <c r="P350" i="1"/>
  <c r="J350" i="1"/>
  <c r="H350" i="1"/>
  <c r="A350" i="1"/>
  <c r="P189" i="1"/>
  <c r="J189" i="1"/>
  <c r="H189" i="1"/>
  <c r="A189" i="1"/>
  <c r="P286" i="1"/>
  <c r="J286" i="1"/>
  <c r="H286" i="1"/>
  <c r="A286" i="1"/>
  <c r="P176" i="1"/>
  <c r="J176" i="1"/>
  <c r="H176" i="1"/>
  <c r="A176" i="1"/>
  <c r="P81" i="1"/>
  <c r="J81" i="1"/>
  <c r="H81" i="1"/>
  <c r="A81" i="1"/>
  <c r="P136" i="1"/>
  <c r="J136" i="1"/>
  <c r="H136" i="1"/>
  <c r="A136" i="1"/>
  <c r="P191" i="1"/>
  <c r="J191" i="1"/>
  <c r="H191" i="1"/>
  <c r="A191" i="1"/>
  <c r="P265" i="1"/>
  <c r="J265" i="1"/>
  <c r="H265" i="1"/>
  <c r="A265" i="1"/>
  <c r="P122" i="1"/>
  <c r="J122" i="1"/>
  <c r="H122" i="1"/>
  <c r="A122" i="1"/>
  <c r="P164" i="1"/>
  <c r="J164" i="1"/>
  <c r="H164" i="1"/>
  <c r="A164" i="1"/>
  <c r="P360" i="1"/>
  <c r="J360" i="1"/>
  <c r="H360" i="1"/>
  <c r="A360" i="1"/>
  <c r="P60" i="1"/>
  <c r="J60" i="1"/>
  <c r="H60" i="1"/>
  <c r="A60" i="1"/>
  <c r="P50" i="1"/>
  <c r="J50" i="1"/>
  <c r="H50" i="1"/>
  <c r="A50" i="1"/>
  <c r="P37" i="1"/>
  <c r="J37" i="1"/>
  <c r="H37" i="1"/>
  <c r="A37" i="1"/>
  <c r="P377" i="1"/>
  <c r="J377" i="1"/>
  <c r="H377" i="1"/>
  <c r="A377" i="1"/>
  <c r="P80" i="1"/>
  <c r="J80" i="1"/>
  <c r="H80" i="1"/>
  <c r="A80" i="1"/>
  <c r="P244" i="1"/>
  <c r="J244" i="1"/>
  <c r="H244" i="1"/>
  <c r="A244" i="1"/>
  <c r="P208" i="1"/>
  <c r="J208" i="1"/>
  <c r="H208" i="1"/>
  <c r="A208" i="1"/>
  <c r="P87" i="1"/>
  <c r="J87" i="1"/>
  <c r="H87" i="1"/>
  <c r="A87" i="1"/>
  <c r="P40" i="1"/>
  <c r="J40" i="1"/>
  <c r="H40" i="1"/>
  <c r="A40" i="1"/>
  <c r="P272" i="1"/>
  <c r="J272" i="1"/>
  <c r="H272" i="1"/>
  <c r="A272" i="1"/>
  <c r="P181" i="1"/>
  <c r="J181" i="1"/>
  <c r="H181" i="1"/>
  <c r="A181" i="1"/>
  <c r="P61" i="1"/>
  <c r="J61" i="1"/>
  <c r="H61" i="1"/>
  <c r="A61" i="1"/>
  <c r="P221" i="1"/>
  <c r="J221" i="1"/>
  <c r="H221" i="1"/>
  <c r="A221" i="1"/>
  <c r="P79" i="1"/>
  <c r="J79" i="1"/>
  <c r="H79" i="1"/>
  <c r="A79" i="1"/>
  <c r="P163" i="1"/>
  <c r="J163" i="1"/>
  <c r="H163" i="1"/>
  <c r="A163" i="1"/>
  <c r="P207" i="1"/>
  <c r="J207" i="1"/>
  <c r="H207" i="1"/>
  <c r="A207" i="1"/>
  <c r="P228" i="1"/>
  <c r="J228" i="1"/>
  <c r="H228" i="1"/>
  <c r="A228" i="1"/>
  <c r="P285" i="1"/>
  <c r="J285" i="1"/>
  <c r="H285" i="1"/>
  <c r="A285" i="1"/>
  <c r="P46" i="1"/>
  <c r="J46" i="1"/>
  <c r="H46" i="1"/>
  <c r="A46" i="1"/>
  <c r="P21" i="1"/>
  <c r="J21" i="1"/>
  <c r="H21" i="1"/>
  <c r="A21" i="1"/>
  <c r="P112" i="1"/>
  <c r="J112" i="1"/>
  <c r="H112" i="1"/>
  <c r="A112" i="1"/>
  <c r="P349" i="1"/>
  <c r="J349" i="1"/>
  <c r="H349" i="1"/>
  <c r="A349" i="1"/>
  <c r="P271" i="1"/>
  <c r="J271" i="1"/>
  <c r="H271" i="1"/>
  <c r="A271" i="1"/>
  <c r="P241" i="1"/>
  <c r="J241" i="1"/>
  <c r="H241" i="1"/>
  <c r="A241" i="1"/>
  <c r="P220" i="1"/>
  <c r="J220" i="1"/>
  <c r="H220" i="1"/>
  <c r="A220" i="1"/>
  <c r="P257" i="1"/>
  <c r="J257" i="1"/>
  <c r="H257" i="1"/>
  <c r="A257" i="1"/>
  <c r="P186" i="1"/>
  <c r="J186" i="1"/>
  <c r="H186" i="1"/>
  <c r="A186" i="1"/>
  <c r="P232" i="1"/>
  <c r="J232" i="1"/>
  <c r="H232" i="1"/>
  <c r="A232" i="1"/>
  <c r="P198" i="1"/>
  <c r="J198" i="1"/>
  <c r="H198" i="1"/>
  <c r="A198" i="1"/>
  <c r="P393" i="1"/>
  <c r="J393" i="1"/>
  <c r="H393" i="1"/>
  <c r="A393" i="1"/>
  <c r="P135" i="1"/>
  <c r="J135" i="1"/>
  <c r="H135" i="1"/>
  <c r="A135" i="1"/>
  <c r="P219" i="1"/>
  <c r="J219" i="1"/>
  <c r="H219" i="1"/>
  <c r="A219" i="1"/>
  <c r="P103" i="1"/>
  <c r="J103" i="1"/>
  <c r="H103" i="1"/>
  <c r="A103" i="1"/>
  <c r="P150" i="1"/>
  <c r="J150" i="1"/>
  <c r="H150" i="1"/>
  <c r="A150" i="1"/>
  <c r="P268" i="1"/>
  <c r="J268" i="1"/>
  <c r="H268" i="1"/>
  <c r="A268" i="1"/>
  <c r="P297" i="1"/>
  <c r="J297" i="1"/>
  <c r="H297" i="1"/>
  <c r="A297" i="1"/>
  <c r="P348" i="1"/>
  <c r="J348" i="1"/>
  <c r="H348" i="1"/>
  <c r="A348" i="1"/>
  <c r="P347" i="1"/>
  <c r="J347" i="1"/>
  <c r="H347" i="1"/>
  <c r="A347" i="1"/>
  <c r="P235" i="1"/>
  <c r="J235" i="1"/>
  <c r="H235" i="1"/>
  <c r="A235" i="1"/>
  <c r="P318" i="1"/>
  <c r="J318" i="1"/>
  <c r="H318" i="1"/>
  <c r="A318" i="1"/>
  <c r="P270" i="1"/>
  <c r="J270" i="1"/>
  <c r="H270" i="1"/>
  <c r="A270" i="1"/>
  <c r="P256" i="1"/>
  <c r="J256" i="1"/>
  <c r="H256" i="1"/>
  <c r="A256" i="1"/>
  <c r="P36" i="1"/>
  <c r="J36" i="1"/>
  <c r="H36" i="1"/>
  <c r="A36" i="1"/>
  <c r="P342" i="1"/>
  <c r="J342" i="1"/>
  <c r="H342" i="1"/>
  <c r="A342" i="1"/>
  <c r="P162" i="1"/>
  <c r="J162" i="1"/>
  <c r="H162" i="1"/>
  <c r="A162" i="1"/>
  <c r="P255" i="1"/>
  <c r="J255" i="1"/>
  <c r="H255" i="1"/>
  <c r="A255" i="1"/>
  <c r="P29" i="1"/>
  <c r="J29" i="1"/>
  <c r="H29" i="1"/>
  <c r="A29" i="1"/>
  <c r="P254" i="1"/>
  <c r="J254" i="1"/>
  <c r="H254" i="1"/>
  <c r="A254" i="1"/>
  <c r="P240" i="1"/>
  <c r="J240" i="1"/>
  <c r="H240" i="1"/>
  <c r="A240" i="1"/>
  <c r="P337" i="1"/>
  <c r="J337" i="1"/>
  <c r="H337" i="1"/>
  <c r="A337" i="1"/>
  <c r="P157" i="1"/>
  <c r="J157" i="1"/>
  <c r="H157" i="1"/>
  <c r="A157" i="1"/>
  <c r="P32" i="1"/>
  <c r="J32" i="1"/>
  <c r="H32" i="1"/>
  <c r="A32" i="1"/>
  <c r="P102" i="1"/>
  <c r="J102" i="1"/>
  <c r="H102" i="1"/>
  <c r="A102" i="1"/>
  <c r="P54" i="1"/>
  <c r="J54" i="1"/>
  <c r="H54" i="1"/>
  <c r="A54" i="1"/>
  <c r="P305" i="1"/>
  <c r="J305" i="1"/>
  <c r="H305" i="1"/>
  <c r="A305" i="1"/>
  <c r="P151" i="1"/>
  <c r="J151" i="1"/>
  <c r="H151" i="1"/>
  <c r="A151" i="1"/>
  <c r="P277" i="1"/>
  <c r="J277" i="1"/>
  <c r="H277" i="1"/>
  <c r="A277" i="1"/>
  <c r="P101" i="1"/>
  <c r="J101" i="1"/>
  <c r="H101" i="1"/>
  <c r="A101" i="1"/>
  <c r="P130" i="1"/>
  <c r="J130" i="1"/>
  <c r="H130" i="1"/>
  <c r="A130" i="1"/>
  <c r="P273" i="1"/>
  <c r="J273" i="1"/>
  <c r="H273" i="1"/>
  <c r="A273" i="1"/>
  <c r="P100" i="1"/>
  <c r="J100" i="1"/>
  <c r="H100" i="1"/>
  <c r="A100" i="1"/>
  <c r="P4" i="1"/>
  <c r="J4" i="1"/>
  <c r="H4" i="1"/>
  <c r="A4" i="1"/>
  <c r="P28" i="1"/>
  <c r="J28" i="1"/>
  <c r="H28" i="1"/>
  <c r="A28" i="1"/>
  <c r="P339" i="1"/>
  <c r="J339" i="1"/>
  <c r="H339" i="1"/>
  <c r="A339" i="1"/>
  <c r="P175" i="1"/>
  <c r="J175" i="1"/>
  <c r="H175" i="1"/>
  <c r="A175" i="1"/>
  <c r="P323" i="1"/>
  <c r="J323" i="1"/>
  <c r="H323" i="1"/>
  <c r="A323" i="1"/>
  <c r="P367" i="1"/>
  <c r="J367" i="1"/>
  <c r="H367" i="1"/>
  <c r="A367" i="1"/>
  <c r="P174" i="1"/>
  <c r="J174" i="1"/>
  <c r="H174" i="1"/>
  <c r="A174" i="1"/>
  <c r="P386" i="1"/>
  <c r="J386" i="1"/>
  <c r="H386" i="1"/>
  <c r="A386" i="1"/>
  <c r="P239" i="1"/>
  <c r="J239" i="1"/>
  <c r="H239" i="1"/>
  <c r="A239" i="1"/>
  <c r="P3" i="1"/>
  <c r="J3" i="1"/>
  <c r="H3" i="1"/>
  <c r="A3" i="1"/>
  <c r="P371" i="1"/>
  <c r="J371" i="1"/>
  <c r="H371" i="1"/>
  <c r="A371" i="1"/>
  <c r="P65" i="1"/>
  <c r="J65" i="1"/>
  <c r="H65" i="1"/>
  <c r="A65" i="1"/>
  <c r="P27" i="1"/>
  <c r="J27" i="1"/>
  <c r="H27" i="1"/>
  <c r="A27" i="1"/>
  <c r="P253" i="1"/>
  <c r="J253" i="1"/>
  <c r="H253" i="1"/>
  <c r="A253" i="1"/>
  <c r="P99" i="1"/>
  <c r="J99" i="1"/>
  <c r="H99" i="1"/>
  <c r="A99" i="1"/>
  <c r="P53" i="1"/>
  <c r="J53" i="1"/>
  <c r="H53" i="1"/>
  <c r="A53" i="1"/>
  <c r="P335" i="1"/>
  <c r="J335" i="1"/>
  <c r="H335" i="1"/>
  <c r="A335" i="1"/>
  <c r="P180" i="1"/>
  <c r="J180" i="1"/>
  <c r="H180" i="1"/>
  <c r="A180" i="1"/>
  <c r="P173" i="1"/>
  <c r="J173" i="1"/>
  <c r="H173" i="1"/>
  <c r="A173" i="1"/>
  <c r="P98" i="1"/>
  <c r="J98" i="1"/>
  <c r="H98" i="1"/>
  <c r="A98" i="1"/>
  <c r="P52" i="1"/>
  <c r="J52" i="1"/>
  <c r="H52" i="1"/>
  <c r="A52" i="1"/>
  <c r="P314" i="1"/>
  <c r="J314" i="1"/>
  <c r="H314" i="1"/>
  <c r="A314" i="1"/>
  <c r="P78" i="1"/>
  <c r="J78" i="1"/>
  <c r="H78" i="1"/>
  <c r="A78" i="1"/>
  <c r="P218" i="1"/>
  <c r="J218" i="1"/>
  <c r="H218" i="1"/>
  <c r="A218" i="1"/>
  <c r="P97" i="1"/>
  <c r="J97" i="1"/>
  <c r="H97" i="1"/>
  <c r="A97" i="1"/>
  <c r="P366" i="1"/>
  <c r="J366" i="1"/>
  <c r="H366" i="1"/>
  <c r="A366" i="1"/>
  <c r="P385" i="1"/>
  <c r="J385" i="1"/>
  <c r="H385" i="1"/>
  <c r="A385" i="1"/>
  <c r="P20" i="1"/>
  <c r="J20" i="1"/>
  <c r="H20" i="1"/>
  <c r="A20" i="1"/>
  <c r="P316" i="1"/>
  <c r="J316" i="1"/>
  <c r="H316" i="1"/>
  <c r="A316" i="1"/>
  <c r="P324" i="1"/>
  <c r="J324" i="1"/>
  <c r="H324" i="1"/>
  <c r="A324" i="1"/>
  <c r="P384" i="1"/>
  <c r="J384" i="1"/>
  <c r="H384" i="1"/>
  <c r="A384" i="1"/>
  <c r="P118" i="1"/>
  <c r="J118" i="1"/>
  <c r="H118" i="1"/>
  <c r="A118" i="1"/>
  <c r="P149" i="1"/>
  <c r="J149" i="1"/>
  <c r="H149" i="1"/>
  <c r="A149" i="1"/>
  <c r="P391" i="1"/>
  <c r="J391" i="1"/>
  <c r="H391" i="1"/>
  <c r="A391" i="1"/>
  <c r="P58" i="1"/>
  <c r="J58" i="1"/>
  <c r="H58" i="1"/>
  <c r="A58" i="1"/>
  <c r="P346" i="1"/>
  <c r="J346" i="1"/>
  <c r="H346" i="1"/>
  <c r="A346" i="1"/>
  <c r="P134" i="1"/>
  <c r="J134" i="1"/>
  <c r="H134" i="1"/>
  <c r="A134" i="1"/>
  <c r="P322" i="1"/>
  <c r="J322" i="1"/>
  <c r="H322" i="1"/>
  <c r="A322" i="1"/>
  <c r="P370" i="1"/>
  <c r="J370" i="1"/>
  <c r="H370" i="1"/>
  <c r="A370" i="1"/>
  <c r="P234" i="1"/>
  <c r="J234" i="1"/>
  <c r="H234" i="1"/>
  <c r="A234" i="1"/>
  <c r="P217" i="1"/>
  <c r="J217" i="1"/>
  <c r="H217" i="1"/>
  <c r="A217" i="1"/>
  <c r="P114" i="1"/>
  <c r="J114" i="1"/>
  <c r="H114" i="1"/>
  <c r="A114" i="1"/>
  <c r="P35" i="1"/>
  <c r="J35" i="1"/>
  <c r="H35" i="1"/>
  <c r="A35" i="1"/>
  <c r="P311" i="1"/>
  <c r="J311" i="1"/>
  <c r="H311" i="1"/>
  <c r="A311" i="1"/>
  <c r="P284" i="1"/>
  <c r="J284" i="1"/>
  <c r="H284" i="1"/>
  <c r="A284" i="1"/>
  <c r="P8" i="1"/>
  <c r="J8" i="1"/>
  <c r="H8" i="1"/>
  <c r="A8" i="1"/>
  <c r="P225" i="1"/>
  <c r="J225" i="1"/>
  <c r="H225" i="1"/>
  <c r="A225" i="1"/>
  <c r="P24" i="1"/>
  <c r="J24" i="1"/>
  <c r="H24" i="1"/>
  <c r="A24" i="1"/>
  <c r="P156" i="1"/>
  <c r="J156" i="1"/>
  <c r="H156" i="1"/>
  <c r="A156" i="1"/>
  <c r="P313" i="1"/>
  <c r="J313" i="1"/>
  <c r="H313" i="1"/>
  <c r="A313" i="1"/>
  <c r="P19" i="1"/>
  <c r="J19" i="1"/>
  <c r="H19" i="1"/>
  <c r="A19" i="1"/>
  <c r="P230" i="1"/>
  <c r="J230" i="1"/>
  <c r="H230" i="1"/>
  <c r="A230" i="1"/>
  <c r="P238" i="1"/>
  <c r="J238" i="1"/>
  <c r="H238" i="1"/>
  <c r="A238" i="1"/>
  <c r="P261" i="1"/>
  <c r="J261" i="1"/>
  <c r="H261" i="1"/>
  <c r="A261" i="1"/>
  <c r="P159" i="1"/>
  <c r="J159" i="1"/>
  <c r="H159" i="1"/>
  <c r="A159" i="1"/>
  <c r="P113" i="1"/>
  <c r="J113" i="1"/>
  <c r="H113" i="1"/>
  <c r="A113" i="1"/>
  <c r="P383" i="1"/>
  <c r="J383" i="1"/>
  <c r="H383" i="1"/>
  <c r="A383" i="1"/>
  <c r="P283" i="1"/>
  <c r="J283" i="1"/>
  <c r="H283" i="1"/>
  <c r="A283" i="1"/>
  <c r="P77" i="1"/>
  <c r="J77" i="1"/>
  <c r="H77" i="1"/>
  <c r="A77" i="1"/>
  <c r="P301" i="1"/>
  <c r="J301" i="1"/>
  <c r="H301" i="1"/>
  <c r="A301" i="1"/>
  <c r="P76" i="1"/>
  <c r="J76" i="1"/>
  <c r="H76" i="1"/>
  <c r="A76" i="1"/>
  <c r="P172" i="1"/>
  <c r="J172" i="1"/>
  <c r="H172" i="1"/>
  <c r="A172" i="1"/>
  <c r="P64" i="1"/>
  <c r="J64" i="1"/>
  <c r="H64" i="1"/>
  <c r="A64" i="1"/>
  <c r="P345" i="1"/>
  <c r="J345" i="1"/>
  <c r="H345" i="1"/>
  <c r="A345" i="1"/>
  <c r="P96" i="1"/>
  <c r="J96" i="1"/>
  <c r="H96" i="1"/>
  <c r="A96" i="1"/>
  <c r="P376" i="1"/>
  <c r="J376" i="1"/>
  <c r="H376" i="1"/>
  <c r="A376" i="1"/>
  <c r="P282" i="1"/>
  <c r="J282" i="1"/>
  <c r="H282" i="1"/>
  <c r="A282" i="1"/>
  <c r="P330" i="1"/>
  <c r="J330" i="1"/>
  <c r="H330" i="1"/>
  <c r="A330" i="1"/>
  <c r="P363" i="1"/>
  <c r="J363" i="1"/>
  <c r="H363" i="1"/>
  <c r="A363" i="1"/>
  <c r="P226" i="1"/>
  <c r="J226" i="1"/>
  <c r="H226" i="1"/>
  <c r="A226" i="1"/>
  <c r="P2" i="1"/>
  <c r="J2" i="1"/>
  <c r="H2" i="1"/>
  <c r="A2" i="1"/>
  <c r="P296" i="1"/>
  <c r="J296" i="1"/>
  <c r="H296" i="1"/>
  <c r="A296" i="1"/>
  <c r="P31" i="1"/>
  <c r="J31" i="1"/>
  <c r="H31" i="1"/>
  <c r="A31" i="1"/>
  <c r="P382" i="1"/>
  <c r="J382" i="1"/>
  <c r="H382" i="1"/>
  <c r="A382" i="1"/>
  <c r="P188" i="1"/>
  <c r="J188" i="1"/>
  <c r="H188" i="1"/>
  <c r="A188" i="1"/>
  <c r="P326" i="1"/>
  <c r="J326" i="1"/>
  <c r="H326" i="1"/>
  <c r="A326" i="1"/>
  <c r="P95" i="1"/>
  <c r="J95" i="1"/>
  <c r="H95" i="1"/>
  <c r="A95" i="1"/>
  <c r="P344" i="1"/>
  <c r="J344" i="1"/>
  <c r="H344" i="1"/>
  <c r="A344" i="1"/>
  <c r="P298" i="1"/>
  <c r="J298" i="1"/>
  <c r="H298" i="1"/>
  <c r="A298" i="1"/>
  <c r="P354" i="1"/>
  <c r="J354" i="1"/>
  <c r="H354" i="1"/>
  <c r="A354" i="1"/>
  <c r="P209" i="1"/>
  <c r="J209" i="1"/>
  <c r="H209" i="1"/>
  <c r="A209" i="1"/>
  <c r="P375" i="1"/>
  <c r="J375" i="1"/>
  <c r="H375" i="1"/>
  <c r="A375" i="1"/>
  <c r="P7" i="1"/>
  <c r="J7" i="1"/>
  <c r="H7" i="1"/>
  <c r="A7" i="1"/>
  <c r="P216" i="1"/>
  <c r="J216" i="1"/>
  <c r="H216" i="1"/>
  <c r="A216" i="1"/>
  <c r="P197" i="1"/>
  <c r="J197" i="1"/>
  <c r="H197" i="1"/>
  <c r="A197" i="1"/>
  <c r="P179" i="1"/>
  <c r="J179" i="1"/>
  <c r="H179" i="1"/>
  <c r="A179" i="1"/>
  <c r="P196" i="1"/>
  <c r="J196" i="1"/>
  <c r="H196" i="1"/>
  <c r="A196" i="1"/>
  <c r="P148" i="1"/>
  <c r="J148" i="1"/>
  <c r="H148" i="1"/>
  <c r="A148" i="1"/>
  <c r="P119" i="1"/>
  <c r="J119" i="1"/>
  <c r="H119" i="1"/>
  <c r="A119" i="1"/>
  <c r="P264" i="1"/>
  <c r="J264" i="1"/>
  <c r="H264" i="1"/>
  <c r="A264" i="1"/>
  <c r="P195" i="1"/>
  <c r="J195" i="1"/>
  <c r="H195" i="1"/>
  <c r="A195" i="1"/>
  <c r="P252" i="1"/>
  <c r="J252" i="1"/>
  <c r="H252" i="1"/>
  <c r="A252" i="1"/>
  <c r="P295" i="1"/>
  <c r="J295" i="1"/>
  <c r="H295" i="1"/>
  <c r="A295" i="1"/>
  <c r="P18" i="1"/>
  <c r="J18" i="1"/>
  <c r="H18" i="1"/>
  <c r="A18" i="1"/>
  <c r="P293" i="1"/>
  <c r="J293" i="1"/>
  <c r="H293" i="1"/>
  <c r="A293" i="1"/>
  <c r="P51" i="1"/>
  <c r="J51" i="1"/>
  <c r="H51" i="1"/>
  <c r="A51" i="1"/>
  <c r="P171" i="1"/>
  <c r="J171" i="1"/>
  <c r="H171" i="1"/>
  <c r="A171" i="1"/>
  <c r="P45" i="1"/>
  <c r="J45" i="1"/>
  <c r="H45" i="1"/>
  <c r="A45" i="1"/>
  <c r="P161" i="1"/>
  <c r="J161" i="1"/>
  <c r="H161" i="1"/>
  <c r="A161" i="1"/>
  <c r="P229" i="1"/>
  <c r="J229" i="1"/>
  <c r="H229" i="1"/>
  <c r="A229" i="1"/>
  <c r="P317" i="1"/>
  <c r="J317" i="1"/>
  <c r="H317" i="1"/>
  <c r="A317" i="1"/>
  <c r="P227" i="1"/>
  <c r="J227" i="1"/>
  <c r="H227" i="1"/>
  <c r="A227" i="1"/>
  <c r="P275" i="1"/>
  <c r="J275" i="1"/>
  <c r="H275" i="1"/>
  <c r="A275" i="1"/>
  <c r="P75" i="1"/>
  <c r="J75" i="1"/>
  <c r="H75" i="1"/>
  <c r="A75" i="1"/>
  <c r="P121" i="1"/>
  <c r="J121" i="1"/>
  <c r="H121" i="1"/>
  <c r="A121" i="1"/>
  <c r="P184" i="1"/>
  <c r="J184" i="1"/>
  <c r="H184" i="1"/>
  <c r="A184" i="1"/>
  <c r="P369" i="1"/>
  <c r="J369" i="1"/>
  <c r="H369" i="1"/>
  <c r="A369" i="1"/>
  <c r="P44" i="1"/>
  <c r="J44" i="1"/>
  <c r="H44" i="1"/>
  <c r="A44" i="1"/>
  <c r="P71" i="1"/>
  <c r="J71" i="1"/>
  <c r="H71" i="1"/>
  <c r="A71" i="1"/>
  <c r="P310" i="1"/>
  <c r="J310" i="1"/>
  <c r="H310" i="1"/>
  <c r="A310" i="1"/>
  <c r="P361" i="1"/>
  <c r="J361" i="1"/>
  <c r="H361" i="1"/>
  <c r="A361" i="1"/>
  <c r="P336" i="1"/>
  <c r="J336" i="1"/>
  <c r="H336" i="1"/>
  <c r="A336" i="1"/>
  <c r="P94" i="1"/>
  <c r="J94" i="1"/>
  <c r="H94" i="1"/>
  <c r="A94" i="1"/>
  <c r="P182" i="1"/>
  <c r="J182" i="1"/>
  <c r="H182" i="1"/>
  <c r="A182" i="1"/>
  <c r="P267" i="1"/>
  <c r="J267" i="1"/>
  <c r="H267" i="1"/>
  <c r="A267" i="1"/>
  <c r="P390" i="1"/>
  <c r="J390" i="1"/>
  <c r="H390" i="1"/>
  <c r="A390" i="1"/>
  <c r="P352" i="1"/>
  <c r="J352" i="1"/>
  <c r="H352" i="1"/>
  <c r="A352" i="1"/>
  <c r="P365" i="1"/>
  <c r="J365" i="1"/>
  <c r="H365" i="1"/>
  <c r="A365" i="1"/>
  <c r="P329" i="1"/>
  <c r="J329" i="1"/>
  <c r="H329" i="1"/>
  <c r="A329" i="1"/>
  <c r="P178" i="1"/>
  <c r="J178" i="1"/>
  <c r="H178" i="1"/>
  <c r="A178" i="1"/>
  <c r="P6" i="1"/>
  <c r="J6" i="1"/>
  <c r="H6" i="1"/>
  <c r="A6" i="1"/>
  <c r="P215" i="1"/>
  <c r="J215" i="1"/>
  <c r="H215" i="1"/>
  <c r="A215" i="1"/>
  <c r="P364" i="1"/>
  <c r="J364" i="1"/>
  <c r="H364" i="1"/>
  <c r="A364" i="1"/>
  <c r="P243" i="1"/>
  <c r="J243" i="1"/>
  <c r="H243" i="1"/>
  <c r="A243" i="1"/>
  <c r="P251" i="1"/>
  <c r="J251" i="1"/>
  <c r="H251" i="1"/>
  <c r="A251" i="1"/>
  <c r="P133" i="1"/>
  <c r="J133" i="1"/>
  <c r="H133" i="1"/>
  <c r="A133" i="1"/>
  <c r="P23" i="1"/>
  <c r="J23" i="1"/>
  <c r="H23" i="1"/>
  <c r="A23" i="1"/>
  <c r="P120" i="1"/>
  <c r="J120" i="1"/>
  <c r="H120" i="1"/>
  <c r="A120" i="1"/>
  <c r="P321" i="1"/>
  <c r="J321" i="1"/>
  <c r="H321" i="1"/>
  <c r="A321" i="1"/>
  <c r="P308" i="1"/>
  <c r="J308" i="1"/>
  <c r="H308" i="1"/>
  <c r="A308" i="1"/>
  <c r="P206" i="1"/>
  <c r="J206" i="1"/>
  <c r="H206" i="1"/>
  <c r="A206" i="1"/>
  <c r="P290" i="1"/>
  <c r="J290" i="1"/>
  <c r="H290" i="1"/>
  <c r="A290" i="1"/>
  <c r="P93" i="1"/>
  <c r="J93" i="1"/>
  <c r="H93" i="1"/>
  <c r="A93" i="1"/>
  <c r="P5" i="1"/>
  <c r="J5" i="1"/>
  <c r="H5" i="1"/>
  <c r="A5" i="1"/>
  <c r="P142" i="1"/>
  <c r="J142" i="1"/>
  <c r="H142" i="1"/>
  <c r="A142" i="1"/>
  <c r="P74" i="1"/>
  <c r="J74" i="1"/>
  <c r="H74" i="1"/>
  <c r="A74" i="1"/>
  <c r="P190" i="1"/>
  <c r="J190" i="1"/>
  <c r="H190" i="1"/>
  <c r="A190" i="1"/>
  <c r="P73" i="1"/>
  <c r="J73" i="1"/>
  <c r="H73" i="1"/>
  <c r="A73" i="1"/>
  <c r="P177" i="1"/>
  <c r="J177" i="1"/>
  <c r="H177" i="1"/>
  <c r="A177" i="1"/>
  <c r="P183" i="1"/>
  <c r="J183" i="1"/>
  <c r="H183" i="1"/>
  <c r="A183" i="1"/>
  <c r="P328" i="1"/>
  <c r="J328" i="1"/>
  <c r="H328" i="1"/>
  <c r="A328" i="1"/>
  <c r="P372" i="1"/>
  <c r="J372" i="1"/>
  <c r="H372" i="1"/>
  <c r="A372" i="1"/>
  <c r="P147" i="1"/>
  <c r="J147" i="1"/>
  <c r="H147" i="1"/>
  <c r="A147" i="1"/>
  <c r="P237" i="1"/>
  <c r="J237" i="1"/>
  <c r="H237" i="1"/>
  <c r="A237" i="1"/>
  <c r="P333" i="1"/>
  <c r="J333" i="1"/>
  <c r="H333" i="1"/>
  <c r="A333" i="1"/>
  <c r="P368" i="1"/>
  <c r="J368" i="1"/>
  <c r="H368" i="1"/>
  <c r="A368" i="1"/>
  <c r="P231" i="1"/>
  <c r="J231" i="1"/>
  <c r="H231" i="1"/>
  <c r="A231" i="1"/>
  <c r="P68" i="1"/>
  <c r="J68" i="1"/>
  <c r="H68" i="1"/>
  <c r="A68" i="1"/>
  <c r="P92" i="1"/>
  <c r="J92" i="1"/>
  <c r="H92" i="1"/>
  <c r="A92" i="1"/>
  <c r="P194" i="1"/>
  <c r="J194" i="1"/>
  <c r="H194" i="1"/>
  <c r="A194" i="1"/>
  <c r="P62" i="1"/>
  <c r="J62" i="1"/>
  <c r="H62" i="1"/>
  <c r="A62" i="1"/>
  <c r="P343" i="1"/>
  <c r="J343" i="1"/>
  <c r="H343" i="1"/>
  <c r="A343" i="1"/>
  <c r="P320" i="1"/>
  <c r="J320" i="1"/>
  <c r="H320" i="1"/>
  <c r="A320" i="1"/>
  <c r="P91" i="1"/>
  <c r="J91" i="1"/>
  <c r="H91" i="1"/>
  <c r="A91" i="1"/>
  <c r="P374" i="1"/>
  <c r="J374" i="1"/>
  <c r="H374" i="1"/>
  <c r="A374" i="1"/>
  <c r="P59" i="1"/>
  <c r="J59" i="1"/>
  <c r="H59" i="1"/>
  <c r="A59" i="1"/>
  <c r="P127" i="1"/>
  <c r="J127" i="1"/>
  <c r="H127" i="1"/>
  <c r="A127" i="1"/>
  <c r="P250" i="1"/>
  <c r="J250" i="1"/>
  <c r="H250" i="1"/>
  <c r="A250" i="1"/>
  <c r="P193" i="1"/>
  <c r="J193" i="1"/>
  <c r="H193" i="1"/>
  <c r="A193" i="1"/>
  <c r="P146" i="1"/>
  <c r="J146" i="1"/>
  <c r="H146" i="1"/>
  <c r="A146" i="1"/>
  <c r="P249" i="1"/>
  <c r="J249" i="1"/>
  <c r="H249" i="1"/>
  <c r="A249" i="1"/>
  <c r="P266" i="1"/>
  <c r="J266" i="1"/>
  <c r="H266" i="1"/>
  <c r="A266" i="1"/>
  <c r="P63" i="1"/>
  <c r="J63" i="1"/>
  <c r="H63" i="1"/>
  <c r="A63" i="1"/>
  <c r="P154" i="1"/>
  <c r="J154" i="1"/>
  <c r="H154" i="1"/>
  <c r="A154" i="1"/>
  <c r="P117" i="1"/>
  <c r="J117" i="1"/>
  <c r="H117" i="1"/>
  <c r="A117" i="1"/>
  <c r="P309" i="1"/>
  <c r="J309" i="1"/>
  <c r="H309" i="1"/>
  <c r="A309" i="1"/>
  <c r="P211" i="1"/>
  <c r="J211" i="1"/>
  <c r="H211" i="1"/>
  <c r="A211" i="1"/>
  <c r="P214" i="1"/>
  <c r="J214" i="1"/>
  <c r="H214" i="1"/>
  <c r="A214" i="1"/>
  <c r="P158" i="1"/>
  <c r="J158" i="1"/>
  <c r="H158" i="1"/>
  <c r="A158" i="1"/>
  <c r="P353" i="1"/>
  <c r="J353" i="1"/>
  <c r="H353" i="1"/>
  <c r="A353" i="1"/>
  <c r="P66" i="1"/>
  <c r="J66" i="1"/>
  <c r="H66" i="1"/>
  <c r="A66" i="1"/>
  <c r="P43" i="1"/>
  <c r="J43" i="1"/>
  <c r="H43" i="1"/>
  <c r="A43" i="1"/>
  <c r="P359" i="1"/>
  <c r="J359" i="1"/>
  <c r="H359" i="1"/>
  <c r="A359" i="1"/>
  <c r="P281" i="1"/>
  <c r="J281" i="1"/>
  <c r="H281" i="1"/>
  <c r="A281" i="1"/>
  <c r="P70" i="1"/>
  <c r="J70" i="1"/>
  <c r="H70" i="1"/>
  <c r="A70" i="1"/>
  <c r="P90" i="1"/>
  <c r="J90" i="1"/>
  <c r="H90" i="1"/>
  <c r="A90" i="1"/>
  <c r="P160" i="1"/>
  <c r="J160" i="1"/>
  <c r="H160" i="1"/>
  <c r="A160" i="1"/>
  <c r="P26" i="1"/>
  <c r="J26" i="1"/>
  <c r="H26" i="1"/>
  <c r="A26" i="1"/>
  <c r="P280" i="1"/>
  <c r="J280" i="1"/>
  <c r="H280" i="1"/>
  <c r="A280" i="1"/>
  <c r="P289" i="1"/>
  <c r="J289" i="1"/>
  <c r="H289" i="1"/>
  <c r="A289" i="1"/>
  <c r="P30" i="1"/>
  <c r="J30" i="1"/>
  <c r="H30" i="1"/>
  <c r="A30" i="1"/>
  <c r="P144" i="1"/>
  <c r="J144" i="1"/>
  <c r="H144" i="1"/>
  <c r="A144" i="1"/>
  <c r="P307" i="1"/>
  <c r="J307" i="1"/>
  <c r="H307" i="1"/>
  <c r="A307" i="1"/>
  <c r="P126" i="1"/>
  <c r="J126" i="1"/>
  <c r="H126" i="1"/>
  <c r="A126" i="1"/>
  <c r="P312" i="1"/>
  <c r="J312" i="1"/>
  <c r="H312" i="1"/>
  <c r="A312" i="1"/>
  <c r="P269" i="1"/>
  <c r="J269" i="1"/>
  <c r="H269" i="1"/>
  <c r="A269" i="1"/>
  <c r="P303" i="1"/>
  <c r="J303" i="1"/>
  <c r="H303" i="1"/>
  <c r="A303" i="1"/>
  <c r="P89" i="1"/>
  <c r="J89" i="1"/>
  <c r="H89" i="1"/>
  <c r="A89" i="1"/>
  <c r="P132" i="1"/>
  <c r="J132" i="1"/>
  <c r="H132" i="1"/>
  <c r="A132" i="1"/>
  <c r="P72" i="1"/>
  <c r="J72" i="1"/>
  <c r="H72" i="1"/>
  <c r="A72" i="1"/>
  <c r="P213" i="1"/>
  <c r="J213" i="1"/>
  <c r="H213" i="1"/>
  <c r="A213" i="1"/>
  <c r="P263" i="1"/>
  <c r="J263" i="1"/>
  <c r="H263" i="1"/>
  <c r="A263" i="1"/>
  <c r="P300" i="1"/>
  <c r="J300" i="1"/>
  <c r="H300" i="1"/>
  <c r="A300" i="1"/>
  <c r="P42" i="1"/>
  <c r="J42" i="1"/>
  <c r="H42" i="1"/>
  <c r="A42" i="1"/>
  <c r="P67" i="1"/>
  <c r="J67" i="1"/>
  <c r="H67" i="1"/>
  <c r="A67" i="1"/>
  <c r="P116" i="1"/>
  <c r="J116" i="1"/>
  <c r="H116" i="1"/>
  <c r="A116" i="1"/>
  <c r="P279" i="1"/>
  <c r="J279" i="1"/>
  <c r="H279" i="1"/>
  <c r="A279" i="1"/>
  <c r="P167" i="1"/>
  <c r="J167" i="1"/>
  <c r="H167" i="1"/>
  <c r="A167" i="1"/>
  <c r="P168" i="1"/>
  <c r="J168" i="1"/>
  <c r="H168" i="1"/>
  <c r="A168" i="1"/>
  <c r="P276" i="1"/>
  <c r="J276" i="1"/>
  <c r="H276" i="1"/>
  <c r="A276" i="1"/>
  <c r="P338" i="1"/>
  <c r="J338" i="1"/>
  <c r="H338" i="1"/>
  <c r="A338" i="1"/>
  <c r="P170" i="1"/>
  <c r="J170" i="1"/>
  <c r="H170" i="1"/>
  <c r="A170" i="1"/>
  <c r="P145" i="1"/>
  <c r="J145" i="1"/>
  <c r="H145" i="1"/>
  <c r="A145" i="1"/>
  <c r="P248" i="1"/>
  <c r="J248" i="1"/>
  <c r="H248" i="1"/>
  <c r="A248" i="1"/>
  <c r="P153" i="1"/>
  <c r="J153" i="1"/>
  <c r="H153" i="1"/>
  <c r="A153" i="1"/>
  <c r="P299" i="1"/>
  <c r="J299" i="1"/>
  <c r="H299" i="1"/>
  <c r="A299" i="1"/>
  <c r="P152" i="1"/>
  <c r="J152" i="1"/>
  <c r="H152" i="1"/>
  <c r="A152" i="1"/>
  <c r="P115" i="1"/>
  <c r="J115" i="1"/>
  <c r="H115" i="1"/>
  <c r="A115" i="1"/>
  <c r="P169" i="1"/>
  <c r="J169" i="1"/>
  <c r="H169" i="1"/>
  <c r="A169" i="1"/>
  <c r="P236" i="1"/>
  <c r="J236" i="1"/>
  <c r="H236" i="1"/>
  <c r="A236" i="1"/>
  <c r="P88" i="1"/>
  <c r="J88" i="1"/>
  <c r="H88" i="1"/>
  <c r="A88" i="1"/>
</calcChain>
</file>

<file path=xl/sharedStrings.xml><?xml version="1.0" encoding="utf-8"?>
<sst xmlns="http://schemas.openxmlformats.org/spreadsheetml/2006/main" count="4991" uniqueCount="1447">
  <si>
    <t>Reg Number</t>
  </si>
  <si>
    <t>Owner Business Name</t>
  </si>
  <si>
    <t>Owner First Name</t>
  </si>
  <si>
    <t>Owner Last Name</t>
  </si>
  <si>
    <t>Owner Address Line 1</t>
  </si>
  <si>
    <t>Owner City</t>
  </si>
  <si>
    <t>Owner State</t>
  </si>
  <si>
    <t>Owner Zip Code</t>
  </si>
  <si>
    <t>Owner County</t>
  </si>
  <si>
    <t>Owner Phone</t>
  </si>
  <si>
    <t>Owner Email</t>
  </si>
  <si>
    <t>Premises Name</t>
  </si>
  <si>
    <t>Premises Address Line 1</t>
  </si>
  <si>
    <t>Premises City</t>
  </si>
  <si>
    <t>Premises State</t>
  </si>
  <si>
    <t>Premises Zip</t>
  </si>
  <si>
    <t>Premises County</t>
  </si>
  <si>
    <t>Registration Exp Date</t>
  </si>
  <si>
    <t>Registration Type</t>
  </si>
  <si>
    <t>David</t>
  </si>
  <si>
    <t>Miller</t>
  </si>
  <si>
    <t>1962 CR 61</t>
  </si>
  <si>
    <t>Baltic</t>
  </si>
  <si>
    <t>OH</t>
  </si>
  <si>
    <t>HOLMES</t>
  </si>
  <si>
    <t>Miller, David A</t>
  </si>
  <si>
    <t>High Volume Breeder 351 or more puppies</t>
  </si>
  <si>
    <t>Abbott Kennels</t>
  </si>
  <si>
    <t>Leland</t>
  </si>
  <si>
    <t>Abbott</t>
  </si>
  <si>
    <t>4687 County Road 6-1</t>
  </si>
  <si>
    <t>Delta</t>
  </si>
  <si>
    <t>FULTON</t>
  </si>
  <si>
    <t>abbottkennels@outlook.com</t>
  </si>
  <si>
    <t>Abbott, Leland W</t>
  </si>
  <si>
    <t>High Volume Breeder 40 to 60 puppies</t>
  </si>
  <si>
    <t>Rainbow View Pets</t>
  </si>
  <si>
    <t>Ivan</t>
  </si>
  <si>
    <t>Mast</t>
  </si>
  <si>
    <t>2240 County Road 58</t>
  </si>
  <si>
    <t>Millersburg</t>
  </si>
  <si>
    <t>Mast, Ivan E</t>
  </si>
  <si>
    <t>Dennis</t>
  </si>
  <si>
    <t>Yoder</t>
  </si>
  <si>
    <t>2490 Township Road 151</t>
  </si>
  <si>
    <t>Yoder, Dennis D</t>
  </si>
  <si>
    <t>High Volume Breeder 61 to 150 puppies</t>
  </si>
  <si>
    <t>First Choice Puppies</t>
  </si>
  <si>
    <t>Freeman</t>
  </si>
  <si>
    <t>Troyer</t>
  </si>
  <si>
    <t>6838 Cutter Rd</t>
  </si>
  <si>
    <t>Apple Creek</t>
  </si>
  <si>
    <t>WAYNE</t>
  </si>
  <si>
    <t>Troyer, Freeman R</t>
  </si>
  <si>
    <t>Mervin</t>
  </si>
  <si>
    <t>Hershberger</t>
  </si>
  <si>
    <t>3605 State Route 643</t>
  </si>
  <si>
    <t>Hershberger, Mervin A</t>
  </si>
  <si>
    <t>Rebar Puppies</t>
  </si>
  <si>
    <t>Raber</t>
  </si>
  <si>
    <t>2165 Township Road 152</t>
  </si>
  <si>
    <t>Raber, Freeman S</t>
  </si>
  <si>
    <t>Troyer Kennels</t>
  </si>
  <si>
    <t>Levi</t>
  </si>
  <si>
    <t>8234 Winklepleck Road NW</t>
  </si>
  <si>
    <t>Dundee</t>
  </si>
  <si>
    <t>TUSCARAWAS</t>
  </si>
  <si>
    <t>Troyer, Levi L</t>
  </si>
  <si>
    <t>Stoney Woods Kennel</t>
  </si>
  <si>
    <t>Ervin</t>
  </si>
  <si>
    <t>4566 Township Road 371</t>
  </si>
  <si>
    <t>Yoder, Ervin A</t>
  </si>
  <si>
    <t>High Volume Breeder 251 to 350 puppies</t>
  </si>
  <si>
    <t>3911 CR 114</t>
  </si>
  <si>
    <t>Sugarcreek</t>
  </si>
  <si>
    <t>Yoder, Ivan D</t>
  </si>
  <si>
    <t>High Volume Breeder 151 to 250 puppies</t>
  </si>
  <si>
    <t>Raymond</t>
  </si>
  <si>
    <t>1538 Township Road 178</t>
  </si>
  <si>
    <t>Miller, Raymond J</t>
  </si>
  <si>
    <t>Victory Pups</t>
  </si>
  <si>
    <t>Marlin</t>
  </si>
  <si>
    <t>3843 Township Road 374</t>
  </si>
  <si>
    <t>Troyer, Marlin A</t>
  </si>
  <si>
    <t>Isaac</t>
  </si>
  <si>
    <t>Martin</t>
  </si>
  <si>
    <t>7945 Planktown Rd</t>
  </si>
  <si>
    <t>Shiloh</t>
  </si>
  <si>
    <t>RICHLAND</t>
  </si>
  <si>
    <t>Martin, Isaac Z</t>
  </si>
  <si>
    <t>1995 Noble Rd W</t>
  </si>
  <si>
    <t>Hickory Lane Kennel LLC</t>
  </si>
  <si>
    <t>Ina</t>
  </si>
  <si>
    <t>Burkholder</t>
  </si>
  <si>
    <t>2605 Township Road 406</t>
  </si>
  <si>
    <t>Burkholder, Ina</t>
  </si>
  <si>
    <t>2609 Township Road 406</t>
  </si>
  <si>
    <t>Marty</t>
  </si>
  <si>
    <t>7751 Bretzius Rd</t>
  </si>
  <si>
    <t>Fresno</t>
  </si>
  <si>
    <t>Junior_nation2@yahoo.com</t>
  </si>
  <si>
    <t>Yoder, Marty A</t>
  </si>
  <si>
    <t>7751 Bretzius Road</t>
  </si>
  <si>
    <t>Hershy Puppy Pals</t>
  </si>
  <si>
    <t>P.O. Box 182</t>
  </si>
  <si>
    <t>Charm</t>
  </si>
  <si>
    <t>Hershberger, Dennis M</t>
  </si>
  <si>
    <t>1802 County Road 600</t>
  </si>
  <si>
    <t>Prestige Pets LLC</t>
  </si>
  <si>
    <t>Christina</t>
  </si>
  <si>
    <t>10098 Kidron Rd</t>
  </si>
  <si>
    <t>Fredericksburg</t>
  </si>
  <si>
    <t>Mast, Christina N</t>
  </si>
  <si>
    <t>Backroad Kennel</t>
  </si>
  <si>
    <t>Andy</t>
  </si>
  <si>
    <t>2660 Township Road 110</t>
  </si>
  <si>
    <t>Yoder, Andy E</t>
  </si>
  <si>
    <t>7324 Township Road 668</t>
  </si>
  <si>
    <t>Raber, Mervin E</t>
  </si>
  <si>
    <t>7310 Township Road 668</t>
  </si>
  <si>
    <t>Marcus</t>
  </si>
  <si>
    <t>10226 Ely Rd</t>
  </si>
  <si>
    <t>Orrville</t>
  </si>
  <si>
    <t>Yoder, Marcus A</t>
  </si>
  <si>
    <t>Joseph</t>
  </si>
  <si>
    <t>8600 County Road 201</t>
  </si>
  <si>
    <t>Yoder, Joseph M</t>
  </si>
  <si>
    <t>Dan</t>
  </si>
  <si>
    <t>Erb</t>
  </si>
  <si>
    <t>3321 State Route 643</t>
  </si>
  <si>
    <t>Erb, Dan R</t>
  </si>
  <si>
    <t>Eli</t>
  </si>
  <si>
    <t>Coblentz</t>
  </si>
  <si>
    <t>33319 County Road 10</t>
  </si>
  <si>
    <t>COSHOCTON</t>
  </si>
  <si>
    <t>Coblentz, Eli A</t>
  </si>
  <si>
    <t>2714 Township Road 151</t>
  </si>
  <si>
    <t>Miller, David N</t>
  </si>
  <si>
    <t>Michael</t>
  </si>
  <si>
    <t>312 Pleasant Valley Rd</t>
  </si>
  <si>
    <t>Troyer, Michael E</t>
  </si>
  <si>
    <t>Marion</t>
  </si>
  <si>
    <t>44548 County Road 19</t>
  </si>
  <si>
    <t>Coshocton</t>
  </si>
  <si>
    <t>Miller, Marion A</t>
  </si>
  <si>
    <t>Redoy Kennel</t>
  </si>
  <si>
    <t>Myron</t>
  </si>
  <si>
    <t>2130 Township Road 122</t>
  </si>
  <si>
    <t>Yoder, Myron J</t>
  </si>
  <si>
    <t>Superior Hilltop Kennels LLC</t>
  </si>
  <si>
    <t>Dwaine</t>
  </si>
  <si>
    <t>5590 Township Road 123</t>
  </si>
  <si>
    <t>Yoder, Dwaine J</t>
  </si>
  <si>
    <t>Miriam</t>
  </si>
  <si>
    <t>2930 County Road 114</t>
  </si>
  <si>
    <t>Miller, Miriam</t>
  </si>
  <si>
    <t>Angel Breeze Puppies</t>
  </si>
  <si>
    <t>Erma</t>
  </si>
  <si>
    <t>29490 SR 93</t>
  </si>
  <si>
    <t>puppies@angelbreezepuppies.com</t>
  </si>
  <si>
    <t>Yoder, Erma P</t>
  </si>
  <si>
    <t>Tri Angle Acres Kennel</t>
  </si>
  <si>
    <t>Allen</t>
  </si>
  <si>
    <t>3050 TR 194</t>
  </si>
  <si>
    <t>Miller, Allen J</t>
  </si>
  <si>
    <t>Sycamore Run Puppies</t>
  </si>
  <si>
    <t>Mary</t>
  </si>
  <si>
    <t>5168 County Road 19</t>
  </si>
  <si>
    <t>Yoder, Mary E</t>
  </si>
  <si>
    <t>Marvin</t>
  </si>
  <si>
    <t>5645 Township Road 355</t>
  </si>
  <si>
    <t>Yoder, Marvin</t>
  </si>
  <si>
    <t>Albert</t>
  </si>
  <si>
    <t>8376 Township Road 528</t>
  </si>
  <si>
    <t>Shreve</t>
  </si>
  <si>
    <t>Miller, Albert E</t>
  </si>
  <si>
    <t>Henry</t>
  </si>
  <si>
    <t>5380 State Route 557</t>
  </si>
  <si>
    <t>Yoder, Henry W</t>
  </si>
  <si>
    <t>Creekside Kennels</t>
  </si>
  <si>
    <t>32563 County Road 10</t>
  </si>
  <si>
    <t>Yoder, David R</t>
  </si>
  <si>
    <t>Walter Hill Kennel</t>
  </si>
  <si>
    <t>Clara</t>
  </si>
  <si>
    <t>1874 Township Road 152</t>
  </si>
  <si>
    <t>Raber, Clara R</t>
  </si>
  <si>
    <t>Schmucker</t>
  </si>
  <si>
    <t>2301 Township Road 164</t>
  </si>
  <si>
    <t>Schmucker, Marvin</t>
  </si>
  <si>
    <t>Raber Kennels</t>
  </si>
  <si>
    <t>Roy</t>
  </si>
  <si>
    <t>2190 Township Road 152</t>
  </si>
  <si>
    <t>Raber, Roy J</t>
  </si>
  <si>
    <t>A &amp; E Kennel</t>
  </si>
  <si>
    <t>2169 County Road 70</t>
  </si>
  <si>
    <t>Yoder, Andy A</t>
  </si>
  <si>
    <t>Christ</t>
  </si>
  <si>
    <t>29453 Township Road 212</t>
  </si>
  <si>
    <t>Yoder, Christ A</t>
  </si>
  <si>
    <t>Bofan Puppies</t>
  </si>
  <si>
    <t>Robert</t>
  </si>
  <si>
    <t>3388 US 62</t>
  </si>
  <si>
    <t>Coblentz, Robert R</t>
  </si>
  <si>
    <t>H &amp;A Kennel</t>
  </si>
  <si>
    <t>Harvey</t>
  </si>
  <si>
    <t>2038 Noble Rd</t>
  </si>
  <si>
    <t>Burkholder, Harvey M</t>
  </si>
  <si>
    <t>Hillside Kennels</t>
  </si>
  <si>
    <t>P.O. Box 12</t>
  </si>
  <si>
    <t>Yoder, Joseph R</t>
  </si>
  <si>
    <t>4614 County Road 120</t>
  </si>
  <si>
    <t>West Holmes Kennel</t>
  </si>
  <si>
    <t>Joni</t>
  </si>
  <si>
    <t>8235 Township Road 528</t>
  </si>
  <si>
    <t>Miller, Joni J</t>
  </si>
  <si>
    <t>8203 Township Road 528</t>
  </si>
  <si>
    <t>Bonding Bundle</t>
  </si>
  <si>
    <t>Mose</t>
  </si>
  <si>
    <t>5415 State Route 557</t>
  </si>
  <si>
    <t>Yoder, Mose D</t>
  </si>
  <si>
    <t>Sunshine Ridge Pups</t>
  </si>
  <si>
    <t>32743 Township Road 235</t>
  </si>
  <si>
    <t>Yoder, Dennis L</t>
  </si>
  <si>
    <t>32743 TR 235</t>
  </si>
  <si>
    <t>Fred's Puppies</t>
  </si>
  <si>
    <t>7665 Township Road 604</t>
  </si>
  <si>
    <t>Yoder, Freeman M</t>
  </si>
  <si>
    <t>Windy Hill Kennel</t>
  </si>
  <si>
    <t>Cathy</t>
  </si>
  <si>
    <t>Grandstaff</t>
  </si>
  <si>
    <t>12182 Bruce Rd</t>
  </si>
  <si>
    <t>Utica</t>
  </si>
  <si>
    <t>LICKING</t>
  </si>
  <si>
    <t>puppy@windyhillkennel.com</t>
  </si>
  <si>
    <t>Grandstaff, Cathy L</t>
  </si>
  <si>
    <t>Lauderdoodle's</t>
  </si>
  <si>
    <t>Margaret</t>
  </si>
  <si>
    <t>Lauderdale</t>
  </si>
  <si>
    <t>14700 County Road N</t>
  </si>
  <si>
    <t>Wauseon</t>
  </si>
  <si>
    <t>lauderdoodles@yahoo.com</t>
  </si>
  <si>
    <t>Lauderdale, Margaret A</t>
  </si>
  <si>
    <t>Center Ridge Kennels</t>
  </si>
  <si>
    <t>32187 Township Road 235</t>
  </si>
  <si>
    <t>Troyer, Levi D</t>
  </si>
  <si>
    <t>Golden View Kennels</t>
  </si>
  <si>
    <t>2039 Township Highway 116</t>
  </si>
  <si>
    <t>Stoney Creek Kennels</t>
  </si>
  <si>
    <t>John</t>
  </si>
  <si>
    <t>Jamison</t>
  </si>
  <si>
    <t>9708 Painter Creek Arcanum Rd</t>
  </si>
  <si>
    <t>Arcanum</t>
  </si>
  <si>
    <t>DARKE</t>
  </si>
  <si>
    <t>Jamison, John E</t>
  </si>
  <si>
    <t>3553 Township Road 162</t>
  </si>
  <si>
    <t>Erb, Levi A</t>
  </si>
  <si>
    <t>Walnut Creek Pups LLC</t>
  </si>
  <si>
    <t>Eddie</t>
  </si>
  <si>
    <t>2667 Township Road 406</t>
  </si>
  <si>
    <t>Burkholder, Eddie E</t>
  </si>
  <si>
    <t>Ben</t>
  </si>
  <si>
    <t>4021 Ridge Rd SW</t>
  </si>
  <si>
    <t>Troyer, Ben J</t>
  </si>
  <si>
    <t>4021 Ridge Road SW</t>
  </si>
  <si>
    <t>Verna</t>
  </si>
  <si>
    <t>2658 Township Road 190</t>
  </si>
  <si>
    <t>Raber, Verna</t>
  </si>
  <si>
    <t>4656 Township Road 352</t>
  </si>
  <si>
    <t>Miller, David E</t>
  </si>
  <si>
    <t>Neva</t>
  </si>
  <si>
    <t>Schlabach</t>
  </si>
  <si>
    <t>3360 State Route 93 NW</t>
  </si>
  <si>
    <t>Schlabach, Neva A</t>
  </si>
  <si>
    <t>A 1 Bundles of Joy</t>
  </si>
  <si>
    <t>Reuben</t>
  </si>
  <si>
    <t>5028 Township Road 351</t>
  </si>
  <si>
    <t>Schlabach, Reuben M</t>
  </si>
  <si>
    <t>Just A Walk Home Kennel</t>
  </si>
  <si>
    <t>Bree</t>
  </si>
  <si>
    <t>Murner</t>
  </si>
  <si>
    <t>11241 Center Rd</t>
  </si>
  <si>
    <t>Garrettsville</t>
  </si>
  <si>
    <t>PORTAGE</t>
  </si>
  <si>
    <t>breezylabradoodle@gmail.com</t>
  </si>
  <si>
    <t>Murner, Bree D</t>
  </si>
  <si>
    <t>Garman</t>
  </si>
  <si>
    <t>3136 Opdyke Road</t>
  </si>
  <si>
    <t>Plymouth</t>
  </si>
  <si>
    <t>Garman, John R</t>
  </si>
  <si>
    <t>Mathena</t>
  </si>
  <si>
    <t>5923 Roc Marie Avenue</t>
  </si>
  <si>
    <t>Kent</t>
  </si>
  <si>
    <t>dmathena@sbcglobal.net</t>
  </si>
  <si>
    <t>Mathena, David B</t>
  </si>
  <si>
    <t>KeeperofStars Huskies</t>
  </si>
  <si>
    <t>Pittman</t>
  </si>
  <si>
    <t>2745 State Route 668 N</t>
  </si>
  <si>
    <t>Junction City</t>
  </si>
  <si>
    <t>PERRY</t>
  </si>
  <si>
    <t>Keeperofstarts96@aol.com</t>
  </si>
  <si>
    <t>Pittman, Christina M</t>
  </si>
  <si>
    <t>Riverbend Labradoodles LLC</t>
  </si>
  <si>
    <t>Kristen</t>
  </si>
  <si>
    <t>Coopshaw</t>
  </si>
  <si>
    <t>14949 County Road 19</t>
  </si>
  <si>
    <t>Fayette</t>
  </si>
  <si>
    <t>Coopshaw, Kristen</t>
  </si>
  <si>
    <t>Riegsecker's Kennel</t>
  </si>
  <si>
    <t>Steven</t>
  </si>
  <si>
    <t>Riegsecker</t>
  </si>
  <si>
    <t>18393 State Route 2</t>
  </si>
  <si>
    <t>snrieg@aol.com</t>
  </si>
  <si>
    <t>Riegsecker, Steven N</t>
  </si>
  <si>
    <t>Pride &amp; Joy Kennels</t>
  </si>
  <si>
    <t>Peggy</t>
  </si>
  <si>
    <t>Jolly</t>
  </si>
  <si>
    <t>3389 State Route 136</t>
  </si>
  <si>
    <t>Hillsboro</t>
  </si>
  <si>
    <t>HIGHLAND</t>
  </si>
  <si>
    <t>peggyjolly@sbcglobal.net</t>
  </si>
  <si>
    <t>Jolly, Peggy A</t>
  </si>
  <si>
    <t>3425 State Route 136</t>
  </si>
  <si>
    <t>Rolling Acres Kennel</t>
  </si>
  <si>
    <t>Leo</t>
  </si>
  <si>
    <t>Kramer</t>
  </si>
  <si>
    <t>4129 Washington Rd</t>
  </si>
  <si>
    <t>Ansonia</t>
  </si>
  <si>
    <t>kpamkramer@yahoo.com</t>
  </si>
  <si>
    <t>Kramer, Leo A</t>
  </si>
  <si>
    <t>Blackhawk Kennel</t>
  </si>
  <si>
    <t>4714 Township Road 447</t>
  </si>
  <si>
    <t>Troyer, Ervin W</t>
  </si>
  <si>
    <t>Pineview Kennel</t>
  </si>
  <si>
    <t>Suzan</t>
  </si>
  <si>
    <t>Ruetz</t>
  </si>
  <si>
    <t>4291 County Road 1</t>
  </si>
  <si>
    <t>Swanton</t>
  </si>
  <si>
    <t>ohiopwr@roadrunner.com</t>
  </si>
  <si>
    <t>Ruetz, Suzan L</t>
  </si>
  <si>
    <t>5 Star Puppies</t>
  </si>
  <si>
    <t>Paul</t>
  </si>
  <si>
    <t>5540 Township Road 355</t>
  </si>
  <si>
    <t>shk355@yahoo.com</t>
  </si>
  <si>
    <t>Yoder, Paul J</t>
  </si>
  <si>
    <t>James</t>
  </si>
  <si>
    <t>7664 Willett Road</t>
  </si>
  <si>
    <t>Garman, James R</t>
  </si>
  <si>
    <t>Sugar Valley Puppies</t>
  </si>
  <si>
    <t>Ivan &amp; Mabel</t>
  </si>
  <si>
    <t>9475 Rowe Rd NW</t>
  </si>
  <si>
    <t>Yoder, Ivan &amp; Mabel</t>
  </si>
  <si>
    <t>Sunset View Kennel LLC</t>
  </si>
  <si>
    <t>Daniel</t>
  </si>
  <si>
    <t>30248 Township Road 213</t>
  </si>
  <si>
    <t>Schlabach, Daniel J</t>
  </si>
  <si>
    <t>Kennels At Owl Creek</t>
  </si>
  <si>
    <t>Jesse</t>
  </si>
  <si>
    <t>Schumacher</t>
  </si>
  <si>
    <t>19625 County Road West</t>
  </si>
  <si>
    <t>Archbold</t>
  </si>
  <si>
    <t>HENRY</t>
  </si>
  <si>
    <t>stammdoodles@gmail.com</t>
  </si>
  <si>
    <t>Schumacher, Jesse</t>
  </si>
  <si>
    <t>Shirk</t>
  </si>
  <si>
    <t>6666 Baker Road</t>
  </si>
  <si>
    <t>Shelby</t>
  </si>
  <si>
    <t>Shirk, Daniel B</t>
  </si>
  <si>
    <t>Emanuel</t>
  </si>
  <si>
    <t>31180 Township Road 231</t>
  </si>
  <si>
    <t>Troyer, Emanuel A</t>
  </si>
  <si>
    <t>Treeline Kennel</t>
  </si>
  <si>
    <t>Abe</t>
  </si>
  <si>
    <t>47650 Township Road 218</t>
  </si>
  <si>
    <t>Yoder, Abe R</t>
  </si>
  <si>
    <t>6294 Evanscreek Rd</t>
  </si>
  <si>
    <t>Stonecreek</t>
  </si>
  <si>
    <t>Miller, David H</t>
  </si>
  <si>
    <t>Sunny Day Puppies</t>
  </si>
  <si>
    <t>Carter</t>
  </si>
  <si>
    <t>3558 Patriot Rd</t>
  </si>
  <si>
    <t>Patriot</t>
  </si>
  <si>
    <t>GALLIA</t>
  </si>
  <si>
    <t>Mary@SunnyDayPuppies.com</t>
  </si>
  <si>
    <t>Carter, Mary L</t>
  </si>
  <si>
    <t>Jonas</t>
  </si>
  <si>
    <t>3480 SR 643</t>
  </si>
  <si>
    <t>Yoder, Jonas A</t>
  </si>
  <si>
    <t>Valley Farm</t>
  </si>
  <si>
    <t>Monroe</t>
  </si>
  <si>
    <t>Hochstetler</t>
  </si>
  <si>
    <t>31479 Township Road231</t>
  </si>
  <si>
    <t>Hochstetler, Monroe L</t>
  </si>
  <si>
    <t>31479 Township Road 231</t>
  </si>
  <si>
    <t>Backyard Pets LLC</t>
  </si>
  <si>
    <t>Norman</t>
  </si>
  <si>
    <t>7680 Hoy Rd</t>
  </si>
  <si>
    <t>normandbarb@ibyfax.com</t>
  </si>
  <si>
    <t>Miller, Norman D</t>
  </si>
  <si>
    <t>Dyas Farm</t>
  </si>
  <si>
    <t>Donna</t>
  </si>
  <si>
    <t>Dyas</t>
  </si>
  <si>
    <t>2251 SR 28</t>
  </si>
  <si>
    <t>Goshen</t>
  </si>
  <si>
    <t>CLERMONT</t>
  </si>
  <si>
    <t>jrt@cinci.rr.com</t>
  </si>
  <si>
    <t>Dyas, Donna</t>
  </si>
  <si>
    <t>T-Road Pets</t>
  </si>
  <si>
    <t>Adrian</t>
  </si>
  <si>
    <t>2695 County Road 58</t>
  </si>
  <si>
    <t>Burkholder, Adrian H</t>
  </si>
  <si>
    <t>Meadow Brook Kennel</t>
  </si>
  <si>
    <t>5157 County Road 59</t>
  </si>
  <si>
    <t>Yoder, Eli J</t>
  </si>
  <si>
    <t>Birdsong Ridge Kennel</t>
  </si>
  <si>
    <t>Hershberger, Jr</t>
  </si>
  <si>
    <t>2731 Township Road 164</t>
  </si>
  <si>
    <t>Hershberger, Levi Jr</t>
  </si>
  <si>
    <t>2731 Township Rd 164</t>
  </si>
  <si>
    <t>Leroy</t>
  </si>
  <si>
    <t>30561 State Route 206</t>
  </si>
  <si>
    <t>Walhonding</t>
  </si>
  <si>
    <t>Yoder, Leroy E</t>
  </si>
  <si>
    <t>Samuel</t>
  </si>
  <si>
    <t>1935 Township Highway 110</t>
  </si>
  <si>
    <t>Erb, Samuel D</t>
  </si>
  <si>
    <t>3514 State Route 643</t>
  </si>
  <si>
    <t>Erb, Joseph D</t>
  </si>
  <si>
    <t>A-Best Kennel</t>
  </si>
  <si>
    <t>2461 Township Rd 176</t>
  </si>
  <si>
    <t>Yoder, Abe L</t>
  </si>
  <si>
    <t>J. Henry</t>
  </si>
  <si>
    <t>2385 Township Road 176</t>
  </si>
  <si>
    <t>Miller, J. Henry</t>
  </si>
  <si>
    <t>Country Acres Pets</t>
  </si>
  <si>
    <t>54276 State Route 651</t>
  </si>
  <si>
    <t>Yoder, Paul E</t>
  </si>
  <si>
    <t>DBA Pleasant Pets</t>
  </si>
  <si>
    <t>3503 Pleasant Valley Road SW</t>
  </si>
  <si>
    <t>Yoder, Samuel E</t>
  </si>
  <si>
    <t>Yeagers Poodles and Doodles</t>
  </si>
  <si>
    <t>Richard</t>
  </si>
  <si>
    <t>Wright Jr</t>
  </si>
  <si>
    <t>45783 Yeager Drive</t>
  </si>
  <si>
    <t>East Liverpool</t>
  </si>
  <si>
    <t>COLUMBIANA</t>
  </si>
  <si>
    <t>wrighrd@comcast.net</t>
  </si>
  <si>
    <t>Wright Jr, Richard L</t>
  </si>
  <si>
    <t>Pine Ridge Enterprises LLC</t>
  </si>
  <si>
    <t>Willis</t>
  </si>
  <si>
    <t>30765 Township Road 213</t>
  </si>
  <si>
    <t>Hershberger, Willis M</t>
  </si>
  <si>
    <t>Kingdom Hearts Kennel</t>
  </si>
  <si>
    <t>Margee</t>
  </si>
  <si>
    <t>Detrow</t>
  </si>
  <si>
    <t>20141 Monroeville Road</t>
  </si>
  <si>
    <t>Salineville</t>
  </si>
  <si>
    <t>kingdomheartsgoldens@gmail.com</t>
  </si>
  <si>
    <t>Detrow, Margee</t>
  </si>
  <si>
    <t>Simons Poodles</t>
  </si>
  <si>
    <t>Jacqueline</t>
  </si>
  <si>
    <t>Simon</t>
  </si>
  <si>
    <t>3160 US Highway 6 East</t>
  </si>
  <si>
    <t>Fremont</t>
  </si>
  <si>
    <t>SANDUSKY</t>
  </si>
  <si>
    <t>poodlesddl@msn.com</t>
  </si>
  <si>
    <t>Simon, Jacqueline J</t>
  </si>
  <si>
    <t>Yutzy</t>
  </si>
  <si>
    <t>7477 Township Road 654</t>
  </si>
  <si>
    <t>Yutzy, David J</t>
  </si>
  <si>
    <t>Ray</t>
  </si>
  <si>
    <t>4956 CR 59</t>
  </si>
  <si>
    <t>Yoder, Ray E</t>
  </si>
  <si>
    <t>Gold &amp; Silver's Pets</t>
  </si>
  <si>
    <t>Rudy</t>
  </si>
  <si>
    <t>3801 Township Road 162</t>
  </si>
  <si>
    <t>RudyMiller92@gmail.com</t>
  </si>
  <si>
    <t>Miller, Rudy P</t>
  </si>
  <si>
    <t>West View Kennel</t>
  </si>
  <si>
    <t>8339 State Route 241</t>
  </si>
  <si>
    <t>Hershberger, Mose A</t>
  </si>
  <si>
    <t>8339 SR 241</t>
  </si>
  <si>
    <t>Hidden View Farms</t>
  </si>
  <si>
    <t>Cole</t>
  </si>
  <si>
    <t>Gordon</t>
  </si>
  <si>
    <t>7575 Bremen Rd SE</t>
  </si>
  <si>
    <t>Lancaster</t>
  </si>
  <si>
    <t>FAIRFIELD</t>
  </si>
  <si>
    <t>hiddenviewfarmsllc@yahoo.com</t>
  </si>
  <si>
    <t>Gordon, Cole</t>
  </si>
  <si>
    <t>Little Paws LLC</t>
  </si>
  <si>
    <t>4244 Township Road 374</t>
  </si>
  <si>
    <t>Troyer, Andy L</t>
  </si>
  <si>
    <t>5759 Township Raod 417</t>
  </si>
  <si>
    <t>Troyer, Steven R</t>
  </si>
  <si>
    <t>5759 Township Road 417</t>
  </si>
  <si>
    <t>3490 Township Road 130</t>
  </si>
  <si>
    <t>jamesmiller3760@gmail.com</t>
  </si>
  <si>
    <t>Miller, James A</t>
  </si>
  <si>
    <t>Twilight Acres</t>
  </si>
  <si>
    <t>Duane</t>
  </si>
  <si>
    <t>6906 Township Road 113</t>
  </si>
  <si>
    <t>Miller, Duane A</t>
  </si>
  <si>
    <t>Hostetler</t>
  </si>
  <si>
    <t>19810 Frasher Rd</t>
  </si>
  <si>
    <t>Butler</t>
  </si>
  <si>
    <t>KNOX</t>
  </si>
  <si>
    <t>Hostetler, Daniel W</t>
  </si>
  <si>
    <t>High Volume Breeder 5 or more to Broker/Pet Store</t>
  </si>
  <si>
    <t>Isler's Siberians</t>
  </si>
  <si>
    <t>Mark D &amp; Lorrie L</t>
  </si>
  <si>
    <t>Isler</t>
  </si>
  <si>
    <t>1104 Bethlehem Road W</t>
  </si>
  <si>
    <t>Prospect</t>
  </si>
  <si>
    <t>MARION</t>
  </si>
  <si>
    <t>islersibs@gmail.com</t>
  </si>
  <si>
    <t>Isler, Mark D &amp; Lorrie L</t>
  </si>
  <si>
    <t>5344 Smeltzer Rd</t>
  </si>
  <si>
    <t>Shipley Cane Corso LLC</t>
  </si>
  <si>
    <t>Justin</t>
  </si>
  <si>
    <t>Shipley</t>
  </si>
  <si>
    <t>9070 Goldpark Drive</t>
  </si>
  <si>
    <t>Hamilton</t>
  </si>
  <si>
    <t>BUTLER</t>
  </si>
  <si>
    <t>info@shipleycancorso.com</t>
  </si>
  <si>
    <t>Shipley, Justin</t>
  </si>
  <si>
    <t>High Line Meadows</t>
  </si>
  <si>
    <t>Nelson</t>
  </si>
  <si>
    <t>2983 County Road 105</t>
  </si>
  <si>
    <t>Belle Center</t>
  </si>
  <si>
    <t>LOGAN</t>
  </si>
  <si>
    <t>Coblentz, Nelson</t>
  </si>
  <si>
    <t>Richmond Kennel</t>
  </si>
  <si>
    <t>Kimberly</t>
  </si>
  <si>
    <t>Richmond</t>
  </si>
  <si>
    <t>395 Old State Route 56 NW</t>
  </si>
  <si>
    <t>London</t>
  </si>
  <si>
    <t>MADISON</t>
  </si>
  <si>
    <t>Richmond, Kimberly L</t>
  </si>
  <si>
    <t>Mohican Vinyl Window's LLC</t>
  </si>
  <si>
    <t>Nisley</t>
  </si>
  <si>
    <t>20261 Nunda Road</t>
  </si>
  <si>
    <t>Nisley, Henry</t>
  </si>
  <si>
    <t>Nunda Valley Kennels</t>
  </si>
  <si>
    <t>19541 Nunda Road</t>
  </si>
  <si>
    <t>Howard</t>
  </si>
  <si>
    <t>Nisley, Andy M</t>
  </si>
  <si>
    <t>Barkman</t>
  </si>
  <si>
    <t>2055 Township Road 151</t>
  </si>
  <si>
    <t>Barkman, Ivan M</t>
  </si>
  <si>
    <t>Stone Hill Pets</t>
  </si>
  <si>
    <t>Atlee</t>
  </si>
  <si>
    <t>2571 Township Road 121</t>
  </si>
  <si>
    <t>stonehill@safecommail.com</t>
  </si>
  <si>
    <t>Raber, Atlee J</t>
  </si>
  <si>
    <t>Melvin</t>
  </si>
  <si>
    <t>2586 Township Road 183</t>
  </si>
  <si>
    <t>Miller, Melvin A</t>
  </si>
  <si>
    <t>Aden</t>
  </si>
  <si>
    <t>1990 County Road 61</t>
  </si>
  <si>
    <t>Yoder, Aden R</t>
  </si>
  <si>
    <t>Menno</t>
  </si>
  <si>
    <t>6556 Township Road 351</t>
  </si>
  <si>
    <t>Yoder, Menno P</t>
  </si>
  <si>
    <t>484 Hannan Trace Rd</t>
  </si>
  <si>
    <t>Nisley, Levi</t>
  </si>
  <si>
    <t>Rock Springs Kennel</t>
  </si>
  <si>
    <t>2033 County Road 61</t>
  </si>
  <si>
    <t>Troyer, John I</t>
  </si>
  <si>
    <t>Willow Brook Bernese</t>
  </si>
  <si>
    <t>3354 Penrod Rd NW</t>
  </si>
  <si>
    <t>Hershberger, Marcus D</t>
  </si>
  <si>
    <t>Donald</t>
  </si>
  <si>
    <t>Landes</t>
  </si>
  <si>
    <t>5692 State Route 726</t>
  </si>
  <si>
    <t>Eldorado</t>
  </si>
  <si>
    <t>PREBLE</t>
  </si>
  <si>
    <t>Landes, Donald</t>
  </si>
  <si>
    <t>Long Lane Kennel</t>
  </si>
  <si>
    <t>1917 Township Road 110</t>
  </si>
  <si>
    <t>Raber, Ervin S</t>
  </si>
  <si>
    <t>4529 Ridge Road SW</t>
  </si>
  <si>
    <t>Erb, John D</t>
  </si>
  <si>
    <t>Maple Grove Kennels</t>
  </si>
  <si>
    <t>Jacob</t>
  </si>
  <si>
    <t>1426 Van Fossan Rd</t>
  </si>
  <si>
    <t>Jackson</t>
  </si>
  <si>
    <t>JACKSON</t>
  </si>
  <si>
    <t>Yoder, Jacob W</t>
  </si>
  <si>
    <t>Swarey</t>
  </si>
  <si>
    <t>3788 SR 776</t>
  </si>
  <si>
    <t>Swarey, John K</t>
  </si>
  <si>
    <t>33066 County Road 126</t>
  </si>
  <si>
    <t>Miller, Joseph D</t>
  </si>
  <si>
    <t>Locust Run Kennel</t>
  </si>
  <si>
    <t>30340 Township Road 231</t>
  </si>
  <si>
    <t>Raber, Abe C</t>
  </si>
  <si>
    <t>Vernon</t>
  </si>
  <si>
    <t>6083 Township Road 363</t>
  </si>
  <si>
    <t>Burkholder, Vernon P</t>
  </si>
  <si>
    <t>Waglers Kennel</t>
  </si>
  <si>
    <t>Jonathan</t>
  </si>
  <si>
    <t>Wagler</t>
  </si>
  <si>
    <t>329 Port Road</t>
  </si>
  <si>
    <t>West Union</t>
  </si>
  <si>
    <t>ADAMS</t>
  </si>
  <si>
    <t>waglerskennel@ibyfax.com</t>
  </si>
  <si>
    <t>Wagler, Jonathan</t>
  </si>
  <si>
    <t>7577 Township Road 551</t>
  </si>
  <si>
    <t>Holmesville</t>
  </si>
  <si>
    <t>Miller, Robert A</t>
  </si>
  <si>
    <t>North Fork Puppies LLC</t>
  </si>
  <si>
    <t>Merle Jay</t>
  </si>
  <si>
    <t>6887 S Mt. Eaton</t>
  </si>
  <si>
    <t>Dalton</t>
  </si>
  <si>
    <t>Yoder, Merle Jay</t>
  </si>
  <si>
    <t>R &amp; L Kennel</t>
  </si>
  <si>
    <t>371 Bailey Rd</t>
  </si>
  <si>
    <t>Peebles</t>
  </si>
  <si>
    <t>Yutzy, Reuben</t>
  </si>
  <si>
    <t>DAVID</t>
  </si>
  <si>
    <t>WEAVER</t>
  </si>
  <si>
    <t>5767 COUNTY ROAD 349</t>
  </si>
  <si>
    <t>MILLERSBURG</t>
  </si>
  <si>
    <t>Weaver, David W</t>
  </si>
  <si>
    <t>5767 County Road 349</t>
  </si>
  <si>
    <t>Owen</t>
  </si>
  <si>
    <t>3280 County Road 114</t>
  </si>
  <si>
    <t>Hershberger, Owen M</t>
  </si>
  <si>
    <t>Jerry</t>
  </si>
  <si>
    <t>2486 County Road 58</t>
  </si>
  <si>
    <t>Mast, Jerry M</t>
  </si>
  <si>
    <t>Miller Pets</t>
  </si>
  <si>
    <t>Wayne</t>
  </si>
  <si>
    <t>1776 Township Road 164</t>
  </si>
  <si>
    <t>Miller, Wayne A</t>
  </si>
  <si>
    <t>2075 Township Road 110</t>
  </si>
  <si>
    <t>Yoder, Allen J</t>
  </si>
  <si>
    <t>Merle</t>
  </si>
  <si>
    <t>6776 MT. Hope Rd</t>
  </si>
  <si>
    <t>Yoder, Merle J</t>
  </si>
  <si>
    <t>Yoder Valley Kennel</t>
  </si>
  <si>
    <t>Aaron</t>
  </si>
  <si>
    <t>4484 Township Road 371</t>
  </si>
  <si>
    <t>Yoder, Aaron E</t>
  </si>
  <si>
    <t>Red Poodle Paws LLC</t>
  </si>
  <si>
    <t>Junior</t>
  </si>
  <si>
    <t>6702 Township Road 113</t>
  </si>
  <si>
    <t>Troyer, Junior</t>
  </si>
  <si>
    <t>Sam</t>
  </si>
  <si>
    <t>31648 Township Road 235</t>
  </si>
  <si>
    <t>Mast, Sam E</t>
  </si>
  <si>
    <t>1570 Township Road 111</t>
  </si>
  <si>
    <t>Troyer, Paul I</t>
  </si>
  <si>
    <t>Sunset View Puppies LLC</t>
  </si>
  <si>
    <t>28444 State Route 93</t>
  </si>
  <si>
    <t>Miller, Marvin R</t>
  </si>
  <si>
    <t>Roweville Puppies</t>
  </si>
  <si>
    <t>10986 Hilltop Road SW</t>
  </si>
  <si>
    <t>Burkholder Vernon W</t>
  </si>
  <si>
    <t>1751 Township Road 416</t>
  </si>
  <si>
    <t>21339 Ireland Rd</t>
  </si>
  <si>
    <t>Hostetler, Reuben</t>
  </si>
  <si>
    <t>Moore Holding LLC</t>
  </si>
  <si>
    <t>Cheryl</t>
  </si>
  <si>
    <t>Moore</t>
  </si>
  <si>
    <t>U-334 County Road 6</t>
  </si>
  <si>
    <t>Liberty Center</t>
  </si>
  <si>
    <t>ppal4kids@aol.com</t>
  </si>
  <si>
    <t>Moore, Cheryl</t>
  </si>
  <si>
    <t>7806 Maurer Rd NW</t>
  </si>
  <si>
    <t>Miller, Ivan M</t>
  </si>
  <si>
    <t>Silver Mist Labradors</t>
  </si>
  <si>
    <t>Baker</t>
  </si>
  <si>
    <t>2148 Mt. Zion Road</t>
  </si>
  <si>
    <t>dtbaker1@yahoo.com</t>
  </si>
  <si>
    <t>Baker, Daniel T</t>
  </si>
  <si>
    <t>2148 Mt Zion Road</t>
  </si>
  <si>
    <t>Creek Bottom Puppies</t>
  </si>
  <si>
    <t>4655 Township Road 616</t>
  </si>
  <si>
    <t>Miller, Mervin J</t>
  </si>
  <si>
    <t>54209 SR 651</t>
  </si>
  <si>
    <t>Yoder, Daniel E</t>
  </si>
  <si>
    <t>3580 State Route 643</t>
  </si>
  <si>
    <t>Hershberger, Marvin A</t>
  </si>
  <si>
    <t>WD Puppies</t>
  </si>
  <si>
    <t>318 SR 603 West</t>
  </si>
  <si>
    <t>wdpuppies@mypeople.net</t>
  </si>
  <si>
    <t>Burkholder, Wayne H</t>
  </si>
  <si>
    <t>Golden Valley Kennel</t>
  </si>
  <si>
    <t>Delbert</t>
  </si>
  <si>
    <t>47882 Township Road 216</t>
  </si>
  <si>
    <t>Yoder, Delbert</t>
  </si>
  <si>
    <t>Sunrise Kennel</t>
  </si>
  <si>
    <t>2551 Township Road 177</t>
  </si>
  <si>
    <t>Troyer, Harvey A</t>
  </si>
  <si>
    <t>Loran &amp; Susie</t>
  </si>
  <si>
    <t>10321 Walnutcreek Bottom Road NW</t>
  </si>
  <si>
    <t>Schlabach, Loran &amp; Susie</t>
  </si>
  <si>
    <t>Leon</t>
  </si>
  <si>
    <t>8480 TR 615</t>
  </si>
  <si>
    <t>Yoder, Leon A</t>
  </si>
  <si>
    <t>Avon Kennels</t>
  </si>
  <si>
    <t>Avon</t>
  </si>
  <si>
    <t>5639 State Route 212 NE</t>
  </si>
  <si>
    <t>Somerdale</t>
  </si>
  <si>
    <t>KeithandKim02@roadrunner.com</t>
  </si>
  <si>
    <t>Avon, Kimberly</t>
  </si>
  <si>
    <t>Yoder and Sons Kennel</t>
  </si>
  <si>
    <t>9091 Township Road 657</t>
  </si>
  <si>
    <t>Miller Kennels</t>
  </si>
  <si>
    <t>7000 Township Road 652</t>
  </si>
  <si>
    <t>millerbedrooms@plainemails.com</t>
  </si>
  <si>
    <t>Miller, Myron J</t>
  </si>
  <si>
    <t>Gertie</t>
  </si>
  <si>
    <t>2884 Township Road 177</t>
  </si>
  <si>
    <t>Miller, Gertie J</t>
  </si>
  <si>
    <t>2575 Township Road 176</t>
  </si>
  <si>
    <t>Troyer, Adrian G</t>
  </si>
  <si>
    <t>Josh</t>
  </si>
  <si>
    <t>Garber</t>
  </si>
  <si>
    <t>7908 Children's Home Bradford Rd</t>
  </si>
  <si>
    <t>Bradford</t>
  </si>
  <si>
    <t>Garber, Josh</t>
  </si>
  <si>
    <t>6730 Township Road 362</t>
  </si>
  <si>
    <t>Miller, Abe P</t>
  </si>
  <si>
    <t>Double M Kennels</t>
  </si>
  <si>
    <t>4675 Township Road 367</t>
  </si>
  <si>
    <t>Miller, Marvin E</t>
  </si>
  <si>
    <t>Maple View Kennel</t>
  </si>
  <si>
    <t>2628 Township Road 183</t>
  </si>
  <si>
    <t>Miller, Mose A</t>
  </si>
  <si>
    <t>Hill Top Puppies LLC</t>
  </si>
  <si>
    <t>Alvin</t>
  </si>
  <si>
    <t>Herschberger</t>
  </si>
  <si>
    <t>490 Hannan Trace Rd</t>
  </si>
  <si>
    <t>Herschberger, Alvin J</t>
  </si>
  <si>
    <t>492 Hannan Trace Rd</t>
  </si>
  <si>
    <t>Hillside Pets LLC</t>
  </si>
  <si>
    <t>4111 Oak Ridge Road NW</t>
  </si>
  <si>
    <t>Miller, Delbert M</t>
  </si>
  <si>
    <t>4148 County Road 160</t>
  </si>
  <si>
    <t>Miller, Joseph A</t>
  </si>
  <si>
    <t>Laverne</t>
  </si>
  <si>
    <t>4836 State Route 314</t>
  </si>
  <si>
    <t>Mt. Gilead</t>
  </si>
  <si>
    <t>MORROW</t>
  </si>
  <si>
    <t>Troyer, Laverne D</t>
  </si>
  <si>
    <t>Sandy Hill Kennel</t>
  </si>
  <si>
    <t>Sauder</t>
  </si>
  <si>
    <t>5165 Rome South Road</t>
  </si>
  <si>
    <t>Sauder, Steven N</t>
  </si>
  <si>
    <t>27825 State Route 643</t>
  </si>
  <si>
    <t>Yoder, Norman J</t>
  </si>
  <si>
    <t>8899 County Route 245</t>
  </si>
  <si>
    <t>Hostetler, Eli D</t>
  </si>
  <si>
    <t>8899 County Road 245</t>
  </si>
  <si>
    <t>PO Box 84</t>
  </si>
  <si>
    <t>Winesburg</t>
  </si>
  <si>
    <t>Miller, Reuben B</t>
  </si>
  <si>
    <t>2216 US 62</t>
  </si>
  <si>
    <t>Belmark</t>
  </si>
  <si>
    <t>Bella</t>
  </si>
  <si>
    <t>Vila-Thompson</t>
  </si>
  <si>
    <t>7806 County Road 11</t>
  </si>
  <si>
    <t>DeGraff</t>
  </si>
  <si>
    <t>belmark@embarqmail.com</t>
  </si>
  <si>
    <t>Vila-Thompson, Bella</t>
  </si>
  <si>
    <t>32065 State Route 643</t>
  </si>
  <si>
    <t>Barkman, Willis D</t>
  </si>
  <si>
    <t>8840 Steel Hill Road</t>
  </si>
  <si>
    <t>Dresden</t>
  </si>
  <si>
    <t>MUSKINGUM</t>
  </si>
  <si>
    <t>Yoder, Ervin E</t>
  </si>
  <si>
    <t>7133 Township RoaD 654</t>
  </si>
  <si>
    <t>Troyer, Dennis O</t>
  </si>
  <si>
    <t>7133 Township Road 654</t>
  </si>
  <si>
    <t>7637 Wakatomica Road</t>
  </si>
  <si>
    <t>Mast, Wayne</t>
  </si>
  <si>
    <t>7637 WAKATOMICA RD</t>
  </si>
  <si>
    <t>WALHONDING</t>
  </si>
  <si>
    <t>Ora</t>
  </si>
  <si>
    <t>51979 Township Road 214 B</t>
  </si>
  <si>
    <t>Troyer, Ora</t>
  </si>
  <si>
    <t>Pine Hill Kennel</t>
  </si>
  <si>
    <t>Nathaniel</t>
  </si>
  <si>
    <t>7786 Maurer Rd NW</t>
  </si>
  <si>
    <t>Hershberger, Nathaniel Jr</t>
  </si>
  <si>
    <t>5415 Criswell Rd</t>
  </si>
  <si>
    <t>Trailblazer Kenne LLC</t>
  </si>
  <si>
    <t>Pine Creek Puppies</t>
  </si>
  <si>
    <t>3750 Township Road 124</t>
  </si>
  <si>
    <t>Miller, Wayne E</t>
  </si>
  <si>
    <t>Sunrise Kennels</t>
  </si>
  <si>
    <t>Shetler</t>
  </si>
  <si>
    <t>7141 Ridge Road</t>
  </si>
  <si>
    <t>Fredericktown</t>
  </si>
  <si>
    <t>Shetler, Samuel</t>
  </si>
  <si>
    <t>7141 Ridge Rd</t>
  </si>
  <si>
    <t>Wengerd</t>
  </si>
  <si>
    <t>4371 Valley Rd SW</t>
  </si>
  <si>
    <t>Wengerd, David</t>
  </si>
  <si>
    <t>Hidden Hollow Kennel</t>
  </si>
  <si>
    <t>14706 Harrison Road</t>
  </si>
  <si>
    <t>Cozy Cove Puppies</t>
  </si>
  <si>
    <t>6286 Township Road 310</t>
  </si>
  <si>
    <t>Miller, Daniel E</t>
  </si>
  <si>
    <t>6286 Townhip Road 310</t>
  </si>
  <si>
    <t>Carlisle Cavaliers</t>
  </si>
  <si>
    <t>3528 Township Road 374</t>
  </si>
  <si>
    <t>myron4527@gmail.com</t>
  </si>
  <si>
    <t>Miller, Myron A</t>
  </si>
  <si>
    <t>Scenic View Puppies</t>
  </si>
  <si>
    <t>1817 Township Road 151</t>
  </si>
  <si>
    <t>Raber, Atlee S</t>
  </si>
  <si>
    <t>1817 Township Road151</t>
  </si>
  <si>
    <t>6077 Township Road 107</t>
  </si>
  <si>
    <t>Wengerd, David D</t>
  </si>
  <si>
    <t>Troyer, Ivan R</t>
  </si>
  <si>
    <t>Hidden Valley Kennel</t>
  </si>
  <si>
    <t>49780 County Road 186</t>
  </si>
  <si>
    <t>Yoder, Jacob R</t>
  </si>
  <si>
    <t>Rachel</t>
  </si>
  <si>
    <t>33200 State Route 643</t>
  </si>
  <si>
    <t>Mast, Rachel R</t>
  </si>
  <si>
    <t>5020 County Road 59</t>
  </si>
  <si>
    <t>Barkman, Atlee A</t>
  </si>
  <si>
    <t>33915 County Road 126</t>
  </si>
  <si>
    <t>Schlabach, David J</t>
  </si>
  <si>
    <t>824 East Moreland Road</t>
  </si>
  <si>
    <t>Wooster</t>
  </si>
  <si>
    <t>Hostetler, Levi R</t>
  </si>
  <si>
    <t>Stutzman</t>
  </si>
  <si>
    <t>17775 Grange Road</t>
  </si>
  <si>
    <t>Stutzman, Albert V</t>
  </si>
  <si>
    <t>Silver Rain Labradors</t>
  </si>
  <si>
    <t>Susi</t>
  </si>
  <si>
    <t>1710 S Galena Rd</t>
  </si>
  <si>
    <t>Galena</t>
  </si>
  <si>
    <t>DELAWARE</t>
  </si>
  <si>
    <t>silverrainlabradors@gmail.com</t>
  </si>
  <si>
    <t>Susi, Cheryl</t>
  </si>
  <si>
    <t>Alpine Lane Paws Ltd</t>
  </si>
  <si>
    <t>Susan</t>
  </si>
  <si>
    <t>Mast-Yoder</t>
  </si>
  <si>
    <t>1140 Township Road 660</t>
  </si>
  <si>
    <t>Mast-Yoder, Susan R</t>
  </si>
  <si>
    <t>Hickory Lane Puppies</t>
  </si>
  <si>
    <t>Beachy</t>
  </si>
  <si>
    <t>11002 Hill Top Road SW</t>
  </si>
  <si>
    <t>Beachy, Aaron E</t>
  </si>
  <si>
    <t>Outback Acres</t>
  </si>
  <si>
    <t>8284 State Route 241</t>
  </si>
  <si>
    <t>Miller, Leon A</t>
  </si>
  <si>
    <t>2261 County Road 70</t>
  </si>
  <si>
    <t>Troyer, Wayne R</t>
  </si>
  <si>
    <t>3663 County Road 160</t>
  </si>
  <si>
    <t>Miller, Ivan R</t>
  </si>
  <si>
    <t>Stephen</t>
  </si>
  <si>
    <t>1195 Duffey Road</t>
  </si>
  <si>
    <t>Stutzman, Stephen</t>
  </si>
  <si>
    <t>Green Meadow Farm</t>
  </si>
  <si>
    <t>11024 Dover Road</t>
  </si>
  <si>
    <t>Yoder, Norman E</t>
  </si>
  <si>
    <t>Pleasant Hill Puppies</t>
  </si>
  <si>
    <t>Weaver</t>
  </si>
  <si>
    <t>9031 Township Road 656</t>
  </si>
  <si>
    <t>Weaver, Ivan D</t>
  </si>
  <si>
    <t>West Bend Kennel</t>
  </si>
  <si>
    <t>6531 Township Road 362</t>
  </si>
  <si>
    <t>Miller, Raymond W</t>
  </si>
  <si>
    <t>Puppy Solutions</t>
  </si>
  <si>
    <t>7826 State Route 241</t>
  </si>
  <si>
    <t>Miller, Albert M</t>
  </si>
  <si>
    <t>6111 E Messner Road</t>
  </si>
  <si>
    <t>aschlabach@ibxfax.com</t>
  </si>
  <si>
    <t>Schlabach, Aaron A</t>
  </si>
  <si>
    <t>2905 Township Road 406</t>
  </si>
  <si>
    <t>Yoder, David H</t>
  </si>
  <si>
    <t>Your New Puppy</t>
  </si>
  <si>
    <t>Mark</t>
  </si>
  <si>
    <t>Johnson</t>
  </si>
  <si>
    <t>11709 Township Road 180</t>
  </si>
  <si>
    <t>Kenton</t>
  </si>
  <si>
    <t>HARDIN</t>
  </si>
  <si>
    <t>YourNewPuppy@wcok.com</t>
  </si>
  <si>
    <t>Johnson, Mark</t>
  </si>
  <si>
    <t>Eldon</t>
  </si>
  <si>
    <t>1655 County Road 600</t>
  </si>
  <si>
    <t>Yoder, Eldon J</t>
  </si>
  <si>
    <t>8832 County Road 186</t>
  </si>
  <si>
    <t>allenwengerd93@gmail.com</t>
  </si>
  <si>
    <t>Wengerd, David A</t>
  </si>
  <si>
    <t>Spring Valley Puppies</t>
  </si>
  <si>
    <t>2339 State Route 179</t>
  </si>
  <si>
    <t>Loudonville</t>
  </si>
  <si>
    <t>ASHLAND</t>
  </si>
  <si>
    <t>Beachy, Marlin N</t>
  </si>
  <si>
    <t>Floyd</t>
  </si>
  <si>
    <t>5948 County Road 68</t>
  </si>
  <si>
    <t>Raber, Floyd D</t>
  </si>
  <si>
    <t>Milan</t>
  </si>
  <si>
    <t>6251 Township Road 107</t>
  </si>
  <si>
    <t>Yoder, Milan R</t>
  </si>
  <si>
    <t>3522 Township Road 371</t>
  </si>
  <si>
    <t>Miller, Atlee M</t>
  </si>
  <si>
    <t>3237 County Road 168</t>
  </si>
  <si>
    <t>Miller, David D</t>
  </si>
  <si>
    <t>1916 Township Road 122</t>
  </si>
  <si>
    <t>Miller, Allen</t>
  </si>
  <si>
    <t>Gladwin Keith</t>
  </si>
  <si>
    <t>8904 Township Road 304</t>
  </si>
  <si>
    <t>gladpuppieskn@gmail.com</t>
  </si>
  <si>
    <t>Yoder, Gladwin Keith</t>
  </si>
  <si>
    <t>Woodlot Companions LLC</t>
  </si>
  <si>
    <t>3635 Township Road 374</t>
  </si>
  <si>
    <t>info@woodlotcompanions.com</t>
  </si>
  <si>
    <t>Troyer, Ray R</t>
  </si>
  <si>
    <t>Furry Friends LLC</t>
  </si>
  <si>
    <t>4096 Township Road 371</t>
  </si>
  <si>
    <t>ljmamm4096@gmail.com</t>
  </si>
  <si>
    <t>Miller, Leon J</t>
  </si>
  <si>
    <t>Lick's of Love Pets</t>
  </si>
  <si>
    <t>Keim</t>
  </si>
  <si>
    <t>17683 Horse Shoe Bend Road</t>
  </si>
  <si>
    <t>Newcomerstown</t>
  </si>
  <si>
    <t>Keim, Levi A</t>
  </si>
  <si>
    <t>Cuddly Canines</t>
  </si>
  <si>
    <t>Albert EA</t>
  </si>
  <si>
    <t>6900 Township Road 113</t>
  </si>
  <si>
    <t>Yoder, Albert EA</t>
  </si>
  <si>
    <t>Pine Grove Puppies</t>
  </si>
  <si>
    <t>2914 Township Road 122</t>
  </si>
  <si>
    <t>55749 Township Road 87</t>
  </si>
  <si>
    <t>Raber, Henry S</t>
  </si>
  <si>
    <t>Regina</t>
  </si>
  <si>
    <t>10327 Woodland Rd NW</t>
  </si>
  <si>
    <t>nateginamiller@yahoo.com</t>
  </si>
  <si>
    <t>Miller, Regina</t>
  </si>
  <si>
    <t>Ammon</t>
  </si>
  <si>
    <t>6966 Ganges Five Point Rd</t>
  </si>
  <si>
    <t>Burkholder, Ammon</t>
  </si>
  <si>
    <t>TLC Kennels</t>
  </si>
  <si>
    <t>6815 State Route 241</t>
  </si>
  <si>
    <t>Wengerd, Levi E</t>
  </si>
  <si>
    <t>8378 State Route 241</t>
  </si>
  <si>
    <t>Miller, Marion L</t>
  </si>
  <si>
    <t>Burky Hill Acres</t>
  </si>
  <si>
    <t>4955 Township Road 369</t>
  </si>
  <si>
    <t>burky0049@aol.com</t>
  </si>
  <si>
    <t>Burkholder, Nelson J</t>
  </si>
  <si>
    <t>Leanna</t>
  </si>
  <si>
    <t>Kurtz</t>
  </si>
  <si>
    <t>8744 Harrison Rd</t>
  </si>
  <si>
    <t>Kurtz, Leanna</t>
  </si>
  <si>
    <t>2303 Township Road 164</t>
  </si>
  <si>
    <t>Miller, Reuben J</t>
  </si>
  <si>
    <t>2970 State Route 643</t>
  </si>
  <si>
    <t>Troyer, Reuben H</t>
  </si>
  <si>
    <t>Small Town Pets</t>
  </si>
  <si>
    <t>11878 Hilltop Road</t>
  </si>
  <si>
    <t>Coblentz, Merle</t>
  </si>
  <si>
    <t>Hilltop Great Danes</t>
  </si>
  <si>
    <t>Marguerite</t>
  </si>
  <si>
    <t>McKinley</t>
  </si>
  <si>
    <t>744 County Road 2654</t>
  </si>
  <si>
    <t>cyburl@frontier.com</t>
  </si>
  <si>
    <t>McKinley, Marguerite J</t>
  </si>
  <si>
    <t>52922 State Route 651</t>
  </si>
  <si>
    <t>Troyer, Ervin D</t>
  </si>
  <si>
    <t>5900 Township Road 606</t>
  </si>
  <si>
    <t>Yoder, David</t>
  </si>
  <si>
    <t>Playfull Puppies</t>
  </si>
  <si>
    <t>4789 Township Road 367</t>
  </si>
  <si>
    <t>josephamiller5628@gmail.com</t>
  </si>
  <si>
    <t>Echo Valley Kennels</t>
  </si>
  <si>
    <t>2820 State Route 557</t>
  </si>
  <si>
    <t>Yoder, Eli E</t>
  </si>
  <si>
    <t>Wyman</t>
  </si>
  <si>
    <t>54610 Township Road 85</t>
  </si>
  <si>
    <t>Troyer, Wyman J</t>
  </si>
  <si>
    <t>Ridge View Puppies</t>
  </si>
  <si>
    <t>5750 County Road 59</t>
  </si>
  <si>
    <t>Yoder, John A</t>
  </si>
  <si>
    <t>Larry</t>
  </si>
  <si>
    <t>8262 State Route 241</t>
  </si>
  <si>
    <t>Miller, Larry A</t>
  </si>
  <si>
    <t>Jason</t>
  </si>
  <si>
    <t>Young</t>
  </si>
  <si>
    <t>8939 S Funk Rd</t>
  </si>
  <si>
    <t>jkyoungbulldog@gmail.com</t>
  </si>
  <si>
    <t>Young, Jason A</t>
  </si>
  <si>
    <t>Owl Creek Kennel</t>
  </si>
  <si>
    <t>4838 Township Road 613</t>
  </si>
  <si>
    <t>Miller, Levi E</t>
  </si>
  <si>
    <t>8800 Township Road 652</t>
  </si>
  <si>
    <t>Miller, Joseph R</t>
  </si>
  <si>
    <t>4272 TR 628</t>
  </si>
  <si>
    <t>Miller, Leon I</t>
  </si>
  <si>
    <t>7445 Township Road 652</t>
  </si>
  <si>
    <t>Keim, Marion M</t>
  </si>
  <si>
    <t>33024 State Route 643</t>
  </si>
  <si>
    <t>Miller, Reuben H</t>
  </si>
  <si>
    <t>Demar Puppies</t>
  </si>
  <si>
    <t>Dean</t>
  </si>
  <si>
    <t>Shoup</t>
  </si>
  <si>
    <t>1000 US 62</t>
  </si>
  <si>
    <t>Shoup, Dean</t>
  </si>
  <si>
    <t>Yoder Jr</t>
  </si>
  <si>
    <t>30833 Township Road 213</t>
  </si>
  <si>
    <t>Yoder Jr, Aden</t>
  </si>
  <si>
    <t>AD Mini Paws</t>
  </si>
  <si>
    <t>1971 Township Road 116</t>
  </si>
  <si>
    <t>Nisley, Andy A</t>
  </si>
  <si>
    <t>M&amp;M Kennel</t>
  </si>
  <si>
    <t>6564 Township Road 362</t>
  </si>
  <si>
    <t>Miller, Marvin W</t>
  </si>
  <si>
    <t>Clark Station Kennels</t>
  </si>
  <si>
    <t>Kevin</t>
  </si>
  <si>
    <t>Bussey</t>
  </si>
  <si>
    <t>3949 Clark Station Road</t>
  </si>
  <si>
    <t>New Madison</t>
  </si>
  <si>
    <t>kevin.bussey@privategarden.org</t>
  </si>
  <si>
    <t>Bussey, Kevin</t>
  </si>
  <si>
    <t>3390 Township Road 194</t>
  </si>
  <si>
    <t>Yoder, Jonas L</t>
  </si>
  <si>
    <t>2230 County Road 168</t>
  </si>
  <si>
    <t>Wengerd, Henry E</t>
  </si>
  <si>
    <t>2881 TR 128</t>
  </si>
  <si>
    <t>Yoder, Daniel</t>
  </si>
  <si>
    <t>Ohio Corgis</t>
  </si>
  <si>
    <t>3565 State Route 643</t>
  </si>
  <si>
    <t>Raber, Joseph</t>
  </si>
  <si>
    <t>Country Hills Kennel</t>
  </si>
  <si>
    <t>Betty</t>
  </si>
  <si>
    <t>8463 Private Road 577</t>
  </si>
  <si>
    <t>chkpups@gmail.com</t>
  </si>
  <si>
    <t>Hershberger, Betty</t>
  </si>
  <si>
    <t>8500 Township Road 615</t>
  </si>
  <si>
    <t>Fredericksbrg</t>
  </si>
  <si>
    <t>Keim, Jacob</t>
  </si>
  <si>
    <t>2701 Township Road 166</t>
  </si>
  <si>
    <t>Whispering Pines Puppies</t>
  </si>
  <si>
    <t>Andrew</t>
  </si>
  <si>
    <t>7587 Township Road 652</t>
  </si>
  <si>
    <t>Weaver, Andrew J</t>
  </si>
  <si>
    <t>Triple T Puppies</t>
  </si>
  <si>
    <t>Daniel &amp; Ruth</t>
  </si>
  <si>
    <t>134 Pleasant Valley Rd</t>
  </si>
  <si>
    <t>Yoder, Daniel &amp; Ruth</t>
  </si>
  <si>
    <t>4774 Statge Route 557</t>
  </si>
  <si>
    <t>Miller, Jonas B</t>
  </si>
  <si>
    <t>4774 State Route 557</t>
  </si>
  <si>
    <t>Miller Kennel</t>
  </si>
  <si>
    <t>4780 State Route 557</t>
  </si>
  <si>
    <t>leroyspuppies@gmail.com</t>
  </si>
  <si>
    <t>Miller, Leroy B</t>
  </si>
  <si>
    <t>31910 County Road 126</t>
  </si>
  <si>
    <t>Miller, Daniel B</t>
  </si>
  <si>
    <t>2524 Township Road 110</t>
  </si>
  <si>
    <t>Yoder, Vernon E</t>
  </si>
  <si>
    <t>Twin Creek Kennels</t>
  </si>
  <si>
    <t>5108 Township Road 118</t>
  </si>
  <si>
    <t>Yoder, Ammon J</t>
  </si>
  <si>
    <t>5108 Township Road118</t>
  </si>
  <si>
    <t>Anthony</t>
  </si>
  <si>
    <t>Keeler</t>
  </si>
  <si>
    <t>9975 County Road 1</t>
  </si>
  <si>
    <t>tony.keeler@gmail.com</t>
  </si>
  <si>
    <t>Keeler, Anthony</t>
  </si>
  <si>
    <t>Hilltop Bulldog</t>
  </si>
  <si>
    <t>Bertha</t>
  </si>
  <si>
    <t>2250 CR 70</t>
  </si>
  <si>
    <t>Yoder, Bertha</t>
  </si>
  <si>
    <t>5236 County Road 77</t>
  </si>
  <si>
    <t>Burkholder, Roy J</t>
  </si>
  <si>
    <t>Henry Yoder Family</t>
  </si>
  <si>
    <t>4220 County Road 70</t>
  </si>
  <si>
    <t>Yoder, Henry B</t>
  </si>
  <si>
    <t>Double Creek Kennel</t>
  </si>
  <si>
    <t>7336 Township Road 668</t>
  </si>
  <si>
    <t>Yoder, Duane W</t>
  </si>
  <si>
    <t>Mullet</t>
  </si>
  <si>
    <t>3420 Township Road 166</t>
  </si>
  <si>
    <t>Mullet, Marcus</t>
  </si>
  <si>
    <t>Adorable Goldendoodles</t>
  </si>
  <si>
    <t>Jill</t>
  </si>
  <si>
    <t>Harris</t>
  </si>
  <si>
    <t>5853 Morgan Road</t>
  </si>
  <si>
    <t>Cleves</t>
  </si>
  <si>
    <t>HAMILTON</t>
  </si>
  <si>
    <t>adorablegoldendoodles@gmail.com</t>
  </si>
  <si>
    <t>Harris, Jill</t>
  </si>
  <si>
    <t>4146 Township Road 157</t>
  </si>
  <si>
    <t>Mast, Eli J</t>
  </si>
  <si>
    <t>4146 TR 157</t>
  </si>
  <si>
    <t>3521 State Route 643</t>
  </si>
  <si>
    <t>dan@holmessiding.com</t>
  </si>
  <si>
    <t>Troyer, Daniel</t>
  </si>
  <si>
    <t>Sunset View Pets</t>
  </si>
  <si>
    <t>5859 County Road 59</t>
  </si>
  <si>
    <t>Raber, Ivan R</t>
  </si>
  <si>
    <t>Trickling Brook Farm</t>
  </si>
  <si>
    <t>2051 Township Road 170</t>
  </si>
  <si>
    <t>Troyer, Marvin A</t>
  </si>
  <si>
    <t>JC Kennel</t>
  </si>
  <si>
    <t>5990 Township Road 606</t>
  </si>
  <si>
    <t>Miller, Jerry L</t>
  </si>
  <si>
    <t>10863 Johnsford Rd SW</t>
  </si>
  <si>
    <t>Beach City</t>
  </si>
  <si>
    <t>STARK</t>
  </si>
  <si>
    <t>rrranch01@yahoo.com</t>
  </si>
  <si>
    <t>Mast, Reuben</t>
  </si>
  <si>
    <t>6645 Saltcreek Rd</t>
  </si>
  <si>
    <t>Miller, John L</t>
  </si>
  <si>
    <t>10292 Senff Road</t>
  </si>
  <si>
    <t>Raber, Vernon D</t>
  </si>
  <si>
    <t>Lester</t>
  </si>
  <si>
    <t>7186 Township Road 569</t>
  </si>
  <si>
    <t>Miller, Lester J</t>
  </si>
  <si>
    <t>7186 Township RoaD 569</t>
  </si>
  <si>
    <t>First Class Frenchies</t>
  </si>
  <si>
    <t>Christopher Shane</t>
  </si>
  <si>
    <t>Donley</t>
  </si>
  <si>
    <t>53710 Township Road 237</t>
  </si>
  <si>
    <t>vetdonley@yahoo.com</t>
  </si>
  <si>
    <t>Donley, Christopher Shane</t>
  </si>
  <si>
    <t>8975 County Road 245</t>
  </si>
  <si>
    <t>Hostetler, Andy Y</t>
  </si>
  <si>
    <t>Pawtential Puppies</t>
  </si>
  <si>
    <t>1549 Township Road 106</t>
  </si>
  <si>
    <t>Yoder, Joseph</t>
  </si>
  <si>
    <t>900 South Swinehart Rd</t>
  </si>
  <si>
    <t>Raber, Larry</t>
  </si>
  <si>
    <t>10340 Lower Trail Road NW</t>
  </si>
  <si>
    <t>adrian.mast86@gmail.com</t>
  </si>
  <si>
    <t>Mast, Adrian</t>
  </si>
  <si>
    <t>Kuhns</t>
  </si>
  <si>
    <t>4228 Kidron Road</t>
  </si>
  <si>
    <t>Kuhns, Wayne E</t>
  </si>
  <si>
    <t>13261 Cunningham Road</t>
  </si>
  <si>
    <t>Spring Side Kennel</t>
  </si>
  <si>
    <t>1390 County Road 600</t>
  </si>
  <si>
    <t>Troyer, Michael L</t>
  </si>
  <si>
    <t>8400 County Road 245</t>
  </si>
  <si>
    <t>Hostetler, Joni</t>
  </si>
  <si>
    <t>Mary Esther</t>
  </si>
  <si>
    <t>33600 Township Road 219</t>
  </si>
  <si>
    <t>Nisley, Mary Esther</t>
  </si>
  <si>
    <t>Ronnie</t>
  </si>
  <si>
    <t>6827 County Road 672</t>
  </si>
  <si>
    <t>Coblentz, Ronnie</t>
  </si>
  <si>
    <t>Hillside Farms</t>
  </si>
  <si>
    <t>9183 County Road 77</t>
  </si>
  <si>
    <t>Weaver, Wayne P</t>
  </si>
  <si>
    <t>2261 Township Road 414</t>
  </si>
  <si>
    <t>Weaver, David N</t>
  </si>
  <si>
    <t>Rolling Hill Kennel</t>
  </si>
  <si>
    <t>33643 County Road 12</t>
  </si>
  <si>
    <t>Miller, Daniel W</t>
  </si>
  <si>
    <t>7378 Township Road 601</t>
  </si>
  <si>
    <t>Miller, David L</t>
  </si>
  <si>
    <t>52924 State Route 651</t>
  </si>
  <si>
    <t>Troyer, Raymond E</t>
  </si>
  <si>
    <t>Legacy Canines</t>
  </si>
  <si>
    <t>Duane &amp; Barbara</t>
  </si>
  <si>
    <t>6751 State Route 241</t>
  </si>
  <si>
    <t>Miller, Duane &amp; Barbara</t>
  </si>
  <si>
    <t>4250 County Road 207</t>
  </si>
  <si>
    <t>Weaver, John J</t>
  </si>
  <si>
    <t>2064 Township Road 116</t>
  </si>
  <si>
    <t>Abe J. Yoder</t>
  </si>
  <si>
    <t>Tina</t>
  </si>
  <si>
    <t>355 Handshaw Road</t>
  </si>
  <si>
    <t>Hershberger, Tina</t>
  </si>
  <si>
    <t>2841 State Route 93</t>
  </si>
  <si>
    <t>Troyer, Leon R</t>
  </si>
  <si>
    <t>5350 County Road 77</t>
  </si>
  <si>
    <t>Burkholder, David R</t>
  </si>
  <si>
    <t>Glendale Kennels</t>
  </si>
  <si>
    <t>Phillip</t>
  </si>
  <si>
    <t>See</t>
  </si>
  <si>
    <t>7953 State Route 139</t>
  </si>
  <si>
    <t>Minford</t>
  </si>
  <si>
    <t>SCIOTO</t>
  </si>
  <si>
    <t>psee57@gmail.com</t>
  </si>
  <si>
    <t>See, Phillip</t>
  </si>
  <si>
    <t>Perfect Paws</t>
  </si>
  <si>
    <t>Linda</t>
  </si>
  <si>
    <t>909 Hickory Drive</t>
  </si>
  <si>
    <t>Troyer, Linda</t>
  </si>
  <si>
    <t>3620 County Road 168</t>
  </si>
  <si>
    <t>Yoder, Allen M</t>
  </si>
  <si>
    <t>6479 County Road 68</t>
  </si>
  <si>
    <t>Schlabach, Daniel M</t>
  </si>
  <si>
    <t>6479 COUNTY ROAD 68</t>
  </si>
  <si>
    <t>Joel</t>
  </si>
  <si>
    <t>4781 State Route 516 NW</t>
  </si>
  <si>
    <t>Dover</t>
  </si>
  <si>
    <t>Beachy, Joel H</t>
  </si>
  <si>
    <t>5852 County Road 201</t>
  </si>
  <si>
    <t>Miller, Eldon J</t>
  </si>
  <si>
    <t>Country Acres Bulldogs</t>
  </si>
  <si>
    <t>Ruth</t>
  </si>
  <si>
    <t>10630 Zuercher Road</t>
  </si>
  <si>
    <t>Miller, Ruth</t>
  </si>
  <si>
    <t>Amos</t>
  </si>
  <si>
    <t>20161 Lanning Road</t>
  </si>
  <si>
    <t>Yoder, Amos</t>
  </si>
  <si>
    <t>2532 Township Road 457</t>
  </si>
  <si>
    <t>Hostetler, Levi D</t>
  </si>
  <si>
    <t>Erik</t>
  </si>
  <si>
    <t>Hirschfeld</t>
  </si>
  <si>
    <t>00577 Southland Road</t>
  </si>
  <si>
    <t>New Bremen</t>
  </si>
  <si>
    <t>AUGLAIZE</t>
  </si>
  <si>
    <t>Hirschfeld, Erik</t>
  </si>
  <si>
    <t>Locust Grove Puppies</t>
  </si>
  <si>
    <t>Zimmerman</t>
  </si>
  <si>
    <t>7180 State Route 61 N</t>
  </si>
  <si>
    <t>Zimmerman, David L</t>
  </si>
  <si>
    <t>Echo Valley Kennel</t>
  </si>
  <si>
    <t>184 County Road 2575</t>
  </si>
  <si>
    <t>Yoder, John E</t>
  </si>
  <si>
    <t>Paws Forever</t>
  </si>
  <si>
    <t>Nathan</t>
  </si>
  <si>
    <t>4721 Township Road 352</t>
  </si>
  <si>
    <t>nate@plainemails.com</t>
  </si>
  <si>
    <t>Miller, Nathan</t>
  </si>
  <si>
    <t>Stony Acres Kennel</t>
  </si>
  <si>
    <t>5167 Township Road 117</t>
  </si>
  <si>
    <t>Barkman, Eli J</t>
  </si>
  <si>
    <t>Country Side Kennel</t>
  </si>
  <si>
    <t>10855 Castor Rd</t>
  </si>
  <si>
    <t>New Concord</t>
  </si>
  <si>
    <t>Miller, Marvin J</t>
  </si>
  <si>
    <t>Maple Lane</t>
  </si>
  <si>
    <t>32420 County Road 126</t>
  </si>
  <si>
    <t>Yoder, Owen E</t>
  </si>
  <si>
    <t>3893 County Road 70</t>
  </si>
  <si>
    <t>Busy Beaver Kennel</t>
  </si>
  <si>
    <t>Peachey</t>
  </si>
  <si>
    <t>5871 State Route 335</t>
  </si>
  <si>
    <t>Beaver</t>
  </si>
  <si>
    <t>PIKE</t>
  </si>
  <si>
    <t>Peachey, Daniel I</t>
  </si>
  <si>
    <t>Hill Country Paws</t>
  </si>
  <si>
    <t>4759 Township Road 369</t>
  </si>
  <si>
    <t>Hershberger, Henry L</t>
  </si>
  <si>
    <t>Hidden Acres</t>
  </si>
  <si>
    <t>31615 County Road 10</t>
  </si>
  <si>
    <t>Miller, Paul D</t>
  </si>
  <si>
    <t>6119 Township Road 363</t>
  </si>
  <si>
    <t>Burkholder, Allen</t>
  </si>
  <si>
    <t>435 Pleasant Valley Rd NW</t>
  </si>
  <si>
    <t>atleet@keimlumber.com</t>
  </si>
  <si>
    <t>Troyer, Atlee R</t>
  </si>
  <si>
    <t>Johnny</t>
  </si>
  <si>
    <t>21210 Ireland Rd</t>
  </si>
  <si>
    <t>Hostetler, Johnny</t>
  </si>
  <si>
    <t>4205 Township Road 629</t>
  </si>
  <si>
    <t>ajsdeliveryexpress@yahoo.com</t>
  </si>
  <si>
    <t>Raber, John</t>
  </si>
  <si>
    <t>Orin</t>
  </si>
  <si>
    <t>4291 Township Road 420</t>
  </si>
  <si>
    <t>Mast, Orin J</t>
  </si>
  <si>
    <t>31355 County Road 401</t>
  </si>
  <si>
    <t>Warsaw</t>
  </si>
  <si>
    <t>Miller, Reuben E</t>
  </si>
  <si>
    <t>JAMES</t>
  </si>
  <si>
    <t>BEECHY</t>
  </si>
  <si>
    <t>2260 TOWNSHIP ROAD 170</t>
  </si>
  <si>
    <t>SUGARCREEK</t>
  </si>
  <si>
    <t>Beechy, James D</t>
  </si>
  <si>
    <t>2260 Township Road 170</t>
  </si>
  <si>
    <t>Whispering Brook Puppies</t>
  </si>
  <si>
    <t>MAST</t>
  </si>
  <si>
    <t>11089 RAGERSVILLE Road SW</t>
  </si>
  <si>
    <t>BALTIC</t>
  </si>
  <si>
    <t>Mast, David</t>
  </si>
  <si>
    <t>11089 Ragersville Road</t>
  </si>
  <si>
    <t>Pleasant Acres Pups</t>
  </si>
  <si>
    <t>33170 Township Road 235</t>
  </si>
  <si>
    <t>Weaver, Vernon</t>
  </si>
  <si>
    <t>6560 Ridge Rd</t>
  </si>
  <si>
    <t>Wengerd, Atlee</t>
  </si>
  <si>
    <t>Rose Wood Kennel</t>
  </si>
  <si>
    <t>Elam</t>
  </si>
  <si>
    <t>Wickey, Jr</t>
  </si>
  <si>
    <t>15562 Harrison Willshire Road</t>
  </si>
  <si>
    <t>Willshire</t>
  </si>
  <si>
    <t>VAN WERT</t>
  </si>
  <si>
    <t>Wickey, Elam A Jr</t>
  </si>
  <si>
    <t>Edwin</t>
  </si>
  <si>
    <t>4324 Graber Rd</t>
  </si>
  <si>
    <t>Nisley, Edwin</t>
  </si>
  <si>
    <t>11262 Dover Road</t>
  </si>
  <si>
    <t>ACBoxers75@gmail.com</t>
  </si>
  <si>
    <t>HOCHSTETLER, NELSON J</t>
  </si>
  <si>
    <t>Homestead Puppies LLC</t>
  </si>
  <si>
    <t>32083 Township Road 219</t>
  </si>
  <si>
    <t>Miller, Eli B</t>
  </si>
  <si>
    <t>Hill Top Kennel</t>
  </si>
  <si>
    <t>2280 State Route 651</t>
  </si>
  <si>
    <t>Raber, Andy C</t>
  </si>
  <si>
    <t>29952 County Road 10</t>
  </si>
  <si>
    <t>Miller, Daniel</t>
  </si>
  <si>
    <t>29949 County Road 10</t>
  </si>
  <si>
    <t>Apple Hill Farm</t>
  </si>
  <si>
    <t>6737 South Carr Road</t>
  </si>
  <si>
    <t>rwmiller@sle.email</t>
  </si>
  <si>
    <t>Miller, Raymond</t>
  </si>
  <si>
    <t>Skyline Puppies</t>
  </si>
  <si>
    <t>Duane &amp; Naomi</t>
  </si>
  <si>
    <t>6561 Township Road 351</t>
  </si>
  <si>
    <t>skylinepuppies@gmail.com</t>
  </si>
  <si>
    <t>Miller, Duane &amp; Naomi</t>
  </si>
  <si>
    <t>7080 County Road 97</t>
  </si>
  <si>
    <t>Mount Gilead</t>
  </si>
  <si>
    <t>Yoder, Robert</t>
  </si>
  <si>
    <t>Country Classic Pets</t>
  </si>
  <si>
    <t>6372 County Road 59</t>
  </si>
  <si>
    <t>Wengerd, Daniel</t>
  </si>
  <si>
    <t>33058 County Road 12</t>
  </si>
  <si>
    <t>Yoder, Eli</t>
  </si>
  <si>
    <t>Frenchies of Sandstone Retreat</t>
  </si>
  <si>
    <t>4392 County Road 160</t>
  </si>
  <si>
    <t>milanlkeim@gmail.com</t>
  </si>
  <si>
    <t>Keim, Milan</t>
  </si>
  <si>
    <t>32580 County Road 10</t>
  </si>
  <si>
    <t>Miller, Marlin A</t>
  </si>
  <si>
    <t>2124 Township Road 116</t>
  </si>
  <si>
    <t>Maple Grove Puppies</t>
  </si>
  <si>
    <t>9207 Criswell Road</t>
  </si>
  <si>
    <t>Hershberger, Eli A</t>
  </si>
  <si>
    <t>Dutch Fork Harness Horses</t>
  </si>
  <si>
    <t>9025 Mt Hope Rd</t>
  </si>
  <si>
    <t>Troyer, Melvin</t>
  </si>
  <si>
    <t>Applecreek</t>
  </si>
  <si>
    <t>30654 Township Road 213</t>
  </si>
  <si>
    <t>Schlabach, John J</t>
  </si>
  <si>
    <t>Linford</t>
  </si>
  <si>
    <t>1959 East Moreland Road</t>
  </si>
  <si>
    <t>lm1985@hotmail.com</t>
  </si>
  <si>
    <t>Miller, Linford</t>
  </si>
  <si>
    <t>1959 E Moreland Road</t>
  </si>
  <si>
    <t>First Joy Puppies</t>
  </si>
  <si>
    <t>3270 CR 114</t>
  </si>
  <si>
    <t>Erb, Mark J</t>
  </si>
  <si>
    <t>3270 County Road 114</t>
  </si>
  <si>
    <t>Kate's Puppies</t>
  </si>
  <si>
    <t>2990 Township Road 166</t>
  </si>
  <si>
    <t>Miller, David</t>
  </si>
  <si>
    <t>4291 Winklepleck Road NW</t>
  </si>
  <si>
    <t>Hershberger, Eli</t>
  </si>
  <si>
    <t>Blue Diamond Family Pups</t>
  </si>
  <si>
    <t>Willis &amp; Esther</t>
  </si>
  <si>
    <t>3752 Township Road 162</t>
  </si>
  <si>
    <t>84Burky@gmail.com</t>
  </si>
  <si>
    <t>Burkholder, Willis &amp; Esther</t>
  </si>
  <si>
    <t>2305 Township Road 152</t>
  </si>
  <si>
    <t>Raber, Andy</t>
  </si>
  <si>
    <t>106 Lattimer Road West</t>
  </si>
  <si>
    <t>Vernan B Zimmerman</t>
  </si>
  <si>
    <t>Happy Acres Kennel</t>
  </si>
  <si>
    <t>8218 Township Road 568</t>
  </si>
  <si>
    <t>Raber, Duane R</t>
  </si>
  <si>
    <t>2410 State Route 643</t>
  </si>
  <si>
    <t>Yoder, Joseph A</t>
  </si>
  <si>
    <t>4034 Township Road 371</t>
  </si>
  <si>
    <t>Miller, Paul A</t>
  </si>
  <si>
    <t>Valley Acre Kennel</t>
  </si>
  <si>
    <t>714 Shanesville Road SW</t>
  </si>
  <si>
    <t>Schlabach, Aden</t>
  </si>
  <si>
    <t>John Henry</t>
  </si>
  <si>
    <t>1975 County Road 61</t>
  </si>
  <si>
    <t>Yoder, John Henry</t>
  </si>
  <si>
    <t>Carlisle Kennel</t>
  </si>
  <si>
    <t>3459 County Road 135</t>
  </si>
  <si>
    <t>Miller, Wayne</t>
  </si>
  <si>
    <t>Buckeye Golden Retrievers</t>
  </si>
  <si>
    <t>Marcellus</t>
  </si>
  <si>
    <t>11095 Pleasant Hill Road NW</t>
  </si>
  <si>
    <t>marcellusbeachy@gmail.com</t>
  </si>
  <si>
    <t>Beachy, Marcellus</t>
  </si>
  <si>
    <t>Beachy Jr</t>
  </si>
  <si>
    <t>3791 County Road 114</t>
  </si>
  <si>
    <t>Beachy Jr, Henry</t>
  </si>
  <si>
    <t>Peaceful Hollow Kennel</t>
  </si>
  <si>
    <t>4561 Ridge Road SW</t>
  </si>
  <si>
    <t>Troyer, Andrew H</t>
  </si>
  <si>
    <t>777 Patriot Road</t>
  </si>
  <si>
    <t>Gallipolis</t>
  </si>
  <si>
    <t>Nisley, Marvin</t>
  </si>
  <si>
    <t>4122A County Road 207</t>
  </si>
  <si>
    <t>Yoder, Jonathan J</t>
  </si>
  <si>
    <t>5515 County Road 407</t>
  </si>
  <si>
    <t>David A Miller</t>
  </si>
  <si>
    <t>Highland Kennel</t>
  </si>
  <si>
    <t>Autumn</t>
  </si>
  <si>
    <t>Bowman</t>
  </si>
  <si>
    <t>7730 Creek Road</t>
  </si>
  <si>
    <t>Leesburg</t>
  </si>
  <si>
    <t>autumn.bo13@gmail.com</t>
  </si>
  <si>
    <t>Bowman, Autumn</t>
  </si>
  <si>
    <t>51859 Township Road 178</t>
  </si>
  <si>
    <t>Troyer, Leroy</t>
  </si>
  <si>
    <t>Adam</t>
  </si>
  <si>
    <t>Swartzentruber</t>
  </si>
  <si>
    <t>5915 Rush Church Road</t>
  </si>
  <si>
    <t>Ulrichsville</t>
  </si>
  <si>
    <t>Swartzentruber, Adam A</t>
  </si>
  <si>
    <t>3107 County Road 114</t>
  </si>
  <si>
    <t>Vernon M Raber</t>
  </si>
  <si>
    <t>Burkholder Kennel</t>
  </si>
  <si>
    <t>7945 Fredericksburg Rd</t>
  </si>
  <si>
    <t>Leroy Burkholder</t>
  </si>
  <si>
    <t>6272 Rio Grande Drive</t>
  </si>
  <si>
    <t>Mervin L Mast</t>
  </si>
  <si>
    <t>5332 County Road 59</t>
  </si>
  <si>
    <t>Miller, Robert D</t>
  </si>
  <si>
    <t>Freida</t>
  </si>
  <si>
    <t>22387 County Road 367</t>
  </si>
  <si>
    <t>Miller, Freida J</t>
  </si>
  <si>
    <t>Artisan Creek</t>
  </si>
  <si>
    <t>1495 Pleasant Valley Road</t>
  </si>
  <si>
    <t>Yoder, Adam A</t>
  </si>
  <si>
    <t>1301 County Road 21</t>
  </si>
  <si>
    <t>De Graff</t>
  </si>
  <si>
    <t>Blossom Ridge Bulldogs</t>
  </si>
  <si>
    <t>Jeremiah</t>
  </si>
  <si>
    <t>3260 Township Road 166</t>
  </si>
  <si>
    <t>Miller, Jeremiah</t>
  </si>
  <si>
    <t>Matthew</t>
  </si>
  <si>
    <t>1700 Township Road 185</t>
  </si>
  <si>
    <t>Yoder, Matthew A</t>
  </si>
  <si>
    <t>7120 Township Road 207</t>
  </si>
  <si>
    <t>6954 Township Road 207</t>
  </si>
  <si>
    <t>11036 East Moreland Road</t>
  </si>
  <si>
    <t>Nisley, Joseph M</t>
  </si>
  <si>
    <t>6950 County Road 207</t>
  </si>
  <si>
    <t>7535 Township Road 207</t>
  </si>
  <si>
    <t>7921 County Road 13</t>
  </si>
  <si>
    <t>Hope View Canines</t>
  </si>
  <si>
    <t>8562 State Route 241</t>
  </si>
  <si>
    <t>Beachy, Robert W</t>
  </si>
  <si>
    <t>Yoder, Adam</t>
  </si>
  <si>
    <t>1561 Township Road 208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</si>
</sst>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ourier New"/>
      <family val="3"/>
    </font>
    <font>
      <sz val="11"/>
      <color theme="1"/>
      <name val="Courier New"/>
      <family val="3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18" fillId="0" borderId="0" xfId="0" applyFont="1" applyAlignment="1">
      <alignment horizontal="center" vertical="top"/>
    </xf>
    <xf numFmtId="0" fontId="18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0" fontId="19" fillId="0" borderId="10" xfId="0" applyFont="1" applyBorder="1" applyAlignment="1">
      <alignment vertical="top" wrapText="1"/>
    </xf>
    <xf numFmtId="164" fontId="18" fillId="0" borderId="10" xfId="0" applyNumberFormat="1" applyFont="1" applyBorder="1" applyAlignment="1">
      <alignment horizontal="center" vertical="top" wrapText="1"/>
    </xf>
    <xf numFmtId="164" fontId="19" fillId="0" borderId="10" xfId="0" applyNumberFormat="1" applyFont="1" applyBorder="1" applyAlignment="1">
      <alignment vertical="top" wrapText="1"/>
    </xf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3"/>
  <sheetViews>
    <sheetView showGridLines="0" tabSelected="1" topLeftCell="J1" workbookViewId="0">
      <selection activeCell="L1" sqref="L1:L1048576"/>
    </sheetView>
  </sheetViews>
  <sheetFormatPr defaultRowHeight="14.4" x14ac:dyDescent="0.3"/>
  <cols>
    <col min="1" max="1" width="17.109375" customWidth="1"/>
    <col min="2" max="2" width="21.6640625" customWidth="1"/>
    <col min="3" max="3" width="18.33203125" customWidth="1"/>
    <col min="4" max="4" width="17.109375" customWidth="1"/>
    <col min="5" max="5" width="22.88671875" customWidth="1"/>
    <col min="6" max="12" width="17.109375" customWidth="1"/>
    <col min="13" max="13" width="26.33203125" customWidth="1"/>
    <col min="14" max="17" width="17.109375" customWidth="1"/>
    <col min="18" max="18" width="24" style="7" customWidth="1"/>
    <col min="19" max="19" width="19.44140625" customWidth="1"/>
  </cols>
  <sheetData>
    <row r="1" spans="1:19" s="1" customFormat="1" ht="28.8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5" t="s">
        <v>17</v>
      </c>
      <c r="S1" s="2" t="s">
        <v>18</v>
      </c>
    </row>
    <row r="2" spans="1:19" s="3" customFormat="1" ht="43.2" x14ac:dyDescent="0.3">
      <c r="A2" s="4" t="str">
        <f>"CB000YUS"</f>
        <v>CB000YUS</v>
      </c>
      <c r="B2" s="4" t="s">
        <v>640</v>
      </c>
      <c r="C2" s="4" t="s">
        <v>641</v>
      </c>
      <c r="D2" s="4" t="s">
        <v>43</v>
      </c>
      <c r="E2" s="4" t="s">
        <v>642</v>
      </c>
      <c r="F2" s="4" t="s">
        <v>40</v>
      </c>
      <c r="G2" s="4" t="s">
        <v>23</v>
      </c>
      <c r="H2" s="4" t="str">
        <f>"44654"</f>
        <v>44654</v>
      </c>
      <c r="I2" s="4" t="s">
        <v>24</v>
      </c>
      <c r="J2" s="4" t="str">
        <f>"(P) 330-231-7295 (M) 330-600-9620"</f>
        <v>(P) 330-231-7295 (M) 330-600-9620</v>
      </c>
      <c r="K2" s="4"/>
      <c r="L2" s="4" t="s">
        <v>34</v>
      </c>
      <c r="M2" s="4" t="s">
        <v>642</v>
      </c>
      <c r="N2" s="4" t="s">
        <v>40</v>
      </c>
      <c r="O2" s="4" t="s">
        <v>23</v>
      </c>
      <c r="P2" s="4" t="str">
        <f>"44654"</f>
        <v>44654</v>
      </c>
      <c r="Q2" s="4" t="s">
        <v>24</v>
      </c>
      <c r="R2" s="6">
        <v>44196</v>
      </c>
      <c r="S2" s="4" t="s">
        <v>72</v>
      </c>
    </row>
    <row r="3" spans="1:19" s="3" customFormat="1" ht="43.2" x14ac:dyDescent="0.3">
      <c r="A3" s="4" t="str">
        <f>"CB001CCV"</f>
        <v>CB001CCV</v>
      </c>
      <c r="B3" s="4" t="s">
        <v>846</v>
      </c>
      <c r="C3" s="4" t="s">
        <v>641</v>
      </c>
      <c r="D3" s="4" t="s">
        <v>847</v>
      </c>
      <c r="E3" s="4" t="s">
        <v>848</v>
      </c>
      <c r="F3" s="4" t="s">
        <v>22</v>
      </c>
      <c r="G3" s="4" t="s">
        <v>23</v>
      </c>
      <c r="H3" s="4" t="str">
        <f>"43804"</f>
        <v>43804</v>
      </c>
      <c r="I3" s="4" t="s">
        <v>66</v>
      </c>
      <c r="J3" s="4" t="str">
        <f>"(P) 330-987-1924"</f>
        <v>(P) 330-987-1924</v>
      </c>
      <c r="K3" s="4"/>
      <c r="L3" s="4" t="s">
        <v>1170</v>
      </c>
      <c r="M3" s="4" t="s">
        <v>848</v>
      </c>
      <c r="N3" s="4" t="s">
        <v>22</v>
      </c>
      <c r="O3" s="4" t="s">
        <v>23</v>
      </c>
      <c r="P3" s="4" t="str">
        <f>"43804"</f>
        <v>43804</v>
      </c>
      <c r="Q3" s="4" t="s">
        <v>66</v>
      </c>
      <c r="R3" s="6">
        <v>44196</v>
      </c>
      <c r="S3" s="4" t="s">
        <v>46</v>
      </c>
    </row>
    <row r="4" spans="1:19" s="3" customFormat="1" ht="57.6" x14ac:dyDescent="0.3">
      <c r="A4" s="4" t="str">
        <f>"CB001DQ1"</f>
        <v>CB001DQ1</v>
      </c>
      <c r="B4" s="4"/>
      <c r="C4" s="4" t="s">
        <v>641</v>
      </c>
      <c r="D4" s="4" t="s">
        <v>270</v>
      </c>
      <c r="E4" s="4" t="s">
        <v>873</v>
      </c>
      <c r="F4" s="4" t="s">
        <v>51</v>
      </c>
      <c r="G4" s="4" t="s">
        <v>23</v>
      </c>
      <c r="H4" s="4" t="str">
        <f>"44606"</f>
        <v>44606</v>
      </c>
      <c r="I4" s="4" t="s">
        <v>52</v>
      </c>
      <c r="J4" s="4" t="str">
        <f>"(P) 330-601-6109 (F) 330-698-0582 (M) 330-272-8661"</f>
        <v>(P) 330-601-6109 (F) 330-698-0582 (M) 330-272-8661</v>
      </c>
      <c r="K4" s="4" t="s">
        <v>874</v>
      </c>
      <c r="L4" s="4" t="s">
        <v>706</v>
      </c>
      <c r="M4" s="4" t="s">
        <v>873</v>
      </c>
      <c r="N4" s="4" t="s">
        <v>51</v>
      </c>
      <c r="O4" s="4" t="s">
        <v>23</v>
      </c>
      <c r="P4" s="4" t="str">
        <f>"44606"</f>
        <v>44606</v>
      </c>
      <c r="Q4" s="4" t="s">
        <v>52</v>
      </c>
      <c r="R4" s="6">
        <v>44196</v>
      </c>
      <c r="S4" s="4" t="s">
        <v>46</v>
      </c>
    </row>
    <row r="5" spans="1:19" s="3" customFormat="1" ht="43.2" x14ac:dyDescent="0.3">
      <c r="A5" s="4" t="str">
        <f>"CB0006FN"</f>
        <v>CB0006FN</v>
      </c>
      <c r="B5" s="4" t="s">
        <v>370</v>
      </c>
      <c r="C5" s="4" t="s">
        <v>371</v>
      </c>
      <c r="D5" s="4" t="s">
        <v>43</v>
      </c>
      <c r="E5" s="4" t="s">
        <v>372</v>
      </c>
      <c r="F5" s="4" t="s">
        <v>40</v>
      </c>
      <c r="G5" s="4" t="s">
        <v>23</v>
      </c>
      <c r="H5" s="4" t="str">
        <f>"44654"</f>
        <v>44654</v>
      </c>
      <c r="I5" s="4" t="s">
        <v>24</v>
      </c>
      <c r="J5" s="4" t="str">
        <f>"(P) 330-674-2045"</f>
        <v>(P) 330-674-2045</v>
      </c>
      <c r="K5" s="4"/>
      <c r="L5" s="4" t="s">
        <v>675</v>
      </c>
      <c r="M5" s="4" t="s">
        <v>372</v>
      </c>
      <c r="N5" s="4" t="s">
        <v>40</v>
      </c>
      <c r="O5" s="4" t="s">
        <v>23</v>
      </c>
      <c r="P5" s="4" t="str">
        <f>"44654"</f>
        <v>44654</v>
      </c>
      <c r="Q5" s="4" t="s">
        <v>24</v>
      </c>
      <c r="R5" s="6">
        <v>44196</v>
      </c>
      <c r="S5" s="4" t="s">
        <v>26</v>
      </c>
    </row>
    <row r="6" spans="1:19" s="3" customFormat="1" ht="43.2" x14ac:dyDescent="0.3">
      <c r="A6" s="4" t="str">
        <f>"CB000817"</f>
        <v>CB000817</v>
      </c>
      <c r="B6" s="4" t="s">
        <v>427</v>
      </c>
      <c r="C6" s="4" t="s">
        <v>371</v>
      </c>
      <c r="D6" s="4" t="s">
        <v>43</v>
      </c>
      <c r="E6" s="4" t="s">
        <v>428</v>
      </c>
      <c r="F6" s="4" t="s">
        <v>22</v>
      </c>
      <c r="G6" s="4" t="s">
        <v>23</v>
      </c>
      <c r="H6" s="4" t="str">
        <f>"43804"</f>
        <v>43804</v>
      </c>
      <c r="I6" s="4" t="s">
        <v>24</v>
      </c>
      <c r="J6" s="4" t="str">
        <f>"(M) 330-897-0562"</f>
        <v>(M) 330-897-0562</v>
      </c>
      <c r="K6" s="4"/>
      <c r="L6" s="4" t="s">
        <v>825</v>
      </c>
      <c r="M6" s="4" t="s">
        <v>428</v>
      </c>
      <c r="N6" s="4" t="s">
        <v>22</v>
      </c>
      <c r="O6" s="4" t="s">
        <v>23</v>
      </c>
      <c r="P6" s="4" t="str">
        <f>"43804"</f>
        <v>43804</v>
      </c>
      <c r="Q6" s="4" t="s">
        <v>24</v>
      </c>
      <c r="R6" s="6">
        <v>44196</v>
      </c>
      <c r="S6" s="4" t="s">
        <v>72</v>
      </c>
    </row>
    <row r="7" spans="1:19" s="3" customFormat="1" ht="43.2" x14ac:dyDescent="0.3">
      <c r="A7" s="4" t="str">
        <f>"CB000UGX"</f>
        <v>CB000UGX</v>
      </c>
      <c r="B7" s="4" t="s">
        <v>593</v>
      </c>
      <c r="C7" s="4" t="s">
        <v>371</v>
      </c>
      <c r="D7" s="4" t="s">
        <v>59</v>
      </c>
      <c r="E7" s="4" t="s">
        <v>594</v>
      </c>
      <c r="F7" s="4" t="s">
        <v>99</v>
      </c>
      <c r="G7" s="4" t="s">
        <v>23</v>
      </c>
      <c r="H7" s="4" t="str">
        <f>"43824"</f>
        <v>43824</v>
      </c>
      <c r="I7" s="4" t="s">
        <v>134</v>
      </c>
      <c r="J7" s="4" t="str">
        <f>"(P) 740-545-7296"</f>
        <v>(P) 740-545-7296</v>
      </c>
      <c r="K7" s="4"/>
      <c r="L7" s="4" t="s">
        <v>1230</v>
      </c>
      <c r="M7" s="4" t="s">
        <v>594</v>
      </c>
      <c r="N7" s="4" t="s">
        <v>99</v>
      </c>
      <c r="O7" s="4" t="s">
        <v>23</v>
      </c>
      <c r="P7" s="4" t="str">
        <f>"43824"</f>
        <v>43824</v>
      </c>
      <c r="Q7" s="4" t="s">
        <v>134</v>
      </c>
      <c r="R7" s="6">
        <v>44196</v>
      </c>
      <c r="S7" s="4" t="s">
        <v>26</v>
      </c>
    </row>
    <row r="8" spans="1:19" s="3" customFormat="1" ht="43.2" x14ac:dyDescent="0.3">
      <c r="A8" s="4" t="str">
        <f>"CB0015EL"</f>
        <v>CB0015EL</v>
      </c>
      <c r="B8" s="4"/>
      <c r="C8" s="4" t="s">
        <v>371</v>
      </c>
      <c r="D8" s="4" t="s">
        <v>20</v>
      </c>
      <c r="E8" s="4" t="s">
        <v>723</v>
      </c>
      <c r="F8" s="4" t="s">
        <v>40</v>
      </c>
      <c r="G8" s="4" t="s">
        <v>23</v>
      </c>
      <c r="H8" s="4" t="str">
        <f>"44654"</f>
        <v>44654</v>
      </c>
      <c r="I8" s="4" t="s">
        <v>24</v>
      </c>
      <c r="J8" s="4" t="str">
        <f>"(P) 330-893-0116"</f>
        <v>(P) 330-893-0116</v>
      </c>
      <c r="K8" s="4"/>
      <c r="L8" s="4" t="s">
        <v>548</v>
      </c>
      <c r="M8" s="4" t="s">
        <v>723</v>
      </c>
      <c r="N8" s="4" t="s">
        <v>40</v>
      </c>
      <c r="O8" s="4" t="s">
        <v>23</v>
      </c>
      <c r="P8" s="4" t="str">
        <f>"44654"</f>
        <v>44654</v>
      </c>
      <c r="Q8" s="4" t="s">
        <v>24</v>
      </c>
      <c r="R8" s="6">
        <v>44196</v>
      </c>
      <c r="S8" s="4" t="s">
        <v>46</v>
      </c>
    </row>
    <row r="9" spans="1:19" s="3" customFormat="1" ht="43.2" x14ac:dyDescent="0.3">
      <c r="A9" s="4" t="str">
        <f>"CB001TMH"</f>
        <v>CB001TMH</v>
      </c>
      <c r="B9" s="4"/>
      <c r="C9" s="4" t="s">
        <v>371</v>
      </c>
      <c r="D9" s="4" t="s">
        <v>43</v>
      </c>
      <c r="E9" s="4" t="s">
        <v>1169</v>
      </c>
      <c r="F9" s="4" t="s">
        <v>22</v>
      </c>
      <c r="G9" s="4" t="s">
        <v>23</v>
      </c>
      <c r="H9" s="4" t="str">
        <f>"43804"</f>
        <v>43804</v>
      </c>
      <c r="I9" s="4" t="s">
        <v>24</v>
      </c>
      <c r="J9" s="4" t="str">
        <f>"(P) 330-674-2474"</f>
        <v>(P) 330-674-2474</v>
      </c>
      <c r="K9" s="4"/>
      <c r="L9" s="4" t="s">
        <v>768</v>
      </c>
      <c r="M9" s="4" t="s">
        <v>1169</v>
      </c>
      <c r="N9" s="4" t="s">
        <v>22</v>
      </c>
      <c r="O9" s="4" t="s">
        <v>23</v>
      </c>
      <c r="P9" s="4" t="str">
        <f>"44804"</f>
        <v>44804</v>
      </c>
      <c r="Q9" s="4" t="s">
        <v>24</v>
      </c>
      <c r="R9" s="6">
        <v>44196</v>
      </c>
      <c r="S9" s="4" t="s">
        <v>46</v>
      </c>
    </row>
    <row r="10" spans="1:19" s="3" customFormat="1" ht="43.2" x14ac:dyDescent="0.3">
      <c r="A10" s="4" t="str">
        <f>"CB002CCM"</f>
        <v>CB002CCM</v>
      </c>
      <c r="B10" s="4"/>
      <c r="C10" s="4" t="s">
        <v>1406</v>
      </c>
      <c r="D10" s="4" t="s">
        <v>1407</v>
      </c>
      <c r="E10" s="4" t="s">
        <v>1408</v>
      </c>
      <c r="F10" s="4" t="s">
        <v>1409</v>
      </c>
      <c r="G10" s="4" t="s">
        <v>23</v>
      </c>
      <c r="H10" s="4" t="str">
        <f>"44683"</f>
        <v>44683</v>
      </c>
      <c r="I10" s="4" t="s">
        <v>66</v>
      </c>
      <c r="J10" s="4" t="str">
        <f>"(P) 724-600-9828"</f>
        <v>(P) 724-600-9828</v>
      </c>
      <c r="K10" s="4"/>
      <c r="L10" s="4" t="s">
        <v>1386</v>
      </c>
      <c r="M10" s="4" t="s">
        <v>1408</v>
      </c>
      <c r="N10" s="4" t="s">
        <v>1409</v>
      </c>
      <c r="O10" s="4" t="s">
        <v>23</v>
      </c>
      <c r="P10" s="4" t="str">
        <f>"44682"</f>
        <v>44682</v>
      </c>
      <c r="Q10" s="4" t="s">
        <v>66</v>
      </c>
      <c r="R10" s="6">
        <v>44196</v>
      </c>
      <c r="S10" s="4" t="s">
        <v>46</v>
      </c>
    </row>
    <row r="11" spans="1:19" s="3" customFormat="1" ht="57.6" x14ac:dyDescent="0.3">
      <c r="A11" s="4" t="str">
        <f>"CB002CYG"</f>
        <v>CB002CYG</v>
      </c>
      <c r="B11" s="4" t="s">
        <v>1423</v>
      </c>
      <c r="C11" s="4" t="s">
        <v>1406</v>
      </c>
      <c r="D11" s="4" t="s">
        <v>43</v>
      </c>
      <c r="E11" s="4" t="s">
        <v>1424</v>
      </c>
      <c r="F11" s="4" t="s">
        <v>74</v>
      </c>
      <c r="G11" s="4" t="s">
        <v>23</v>
      </c>
      <c r="H11" s="4" t="str">
        <f t="shared" ref="H11:H17" si="0">"44681"</f>
        <v>44681</v>
      </c>
      <c r="I11" s="4" t="s">
        <v>66</v>
      </c>
      <c r="J11" s="4" t="str">
        <f t="shared" ref="J11:J17" si="1">"(P) 330-852-0004 (F) 330-852-2442 (M) 330-231-0008"</f>
        <v>(P) 330-852-0004 (F) 330-852-2442 (M) 330-231-0008</v>
      </c>
      <c r="K11" s="4"/>
      <c r="L11" s="4" t="s">
        <v>849</v>
      </c>
      <c r="M11" s="4" t="s">
        <v>1426</v>
      </c>
      <c r="N11" s="4" t="s">
        <v>1427</v>
      </c>
      <c r="O11" s="4" t="s">
        <v>23</v>
      </c>
      <c r="P11" s="4" t="str">
        <f t="shared" ref="P11:P17" si="2">"43318"</f>
        <v>43318</v>
      </c>
      <c r="Q11" s="4" t="s">
        <v>529</v>
      </c>
      <c r="R11" s="6">
        <v>44196</v>
      </c>
      <c r="S11" s="4" t="s">
        <v>46</v>
      </c>
    </row>
    <row r="12" spans="1:19" s="3" customFormat="1" ht="57.6" x14ac:dyDescent="0.3">
      <c r="A12" s="4" t="str">
        <f>"CB002D5X"</f>
        <v>CB002D5X</v>
      </c>
      <c r="B12" s="4" t="s">
        <v>1423</v>
      </c>
      <c r="C12" s="4" t="s">
        <v>1406</v>
      </c>
      <c r="D12" s="4" t="s">
        <v>43</v>
      </c>
      <c r="E12" s="4" t="s">
        <v>1424</v>
      </c>
      <c r="F12" s="4" t="s">
        <v>74</v>
      </c>
      <c r="G12" s="4" t="s">
        <v>23</v>
      </c>
      <c r="H12" s="4" t="str">
        <f t="shared" si="0"/>
        <v>44681</v>
      </c>
      <c r="I12" s="4" t="s">
        <v>66</v>
      </c>
      <c r="J12" s="4" t="str">
        <f t="shared" si="1"/>
        <v>(P) 330-852-0004 (F) 330-852-2442 (M) 330-231-0008</v>
      </c>
      <c r="K12" s="4"/>
      <c r="L12" s="4" t="s">
        <v>1198</v>
      </c>
      <c r="M12" s="4" t="s">
        <v>1435</v>
      </c>
      <c r="N12" s="4" t="s">
        <v>1427</v>
      </c>
      <c r="O12" s="4" t="s">
        <v>23</v>
      </c>
      <c r="P12" s="4" t="str">
        <f t="shared" si="2"/>
        <v>43318</v>
      </c>
      <c r="Q12" s="4" t="s">
        <v>529</v>
      </c>
      <c r="R12" s="6">
        <v>44196</v>
      </c>
      <c r="S12" s="4" t="s">
        <v>46</v>
      </c>
    </row>
    <row r="13" spans="1:19" s="3" customFormat="1" ht="57.6" x14ac:dyDescent="0.3">
      <c r="A13" s="4" t="str">
        <f>"CB002D7T"</f>
        <v>CB002D7T</v>
      </c>
      <c r="B13" s="4" t="s">
        <v>1423</v>
      </c>
      <c r="C13" s="4" t="s">
        <v>1406</v>
      </c>
      <c r="D13" s="4" t="s">
        <v>43</v>
      </c>
      <c r="E13" s="4" t="s">
        <v>1424</v>
      </c>
      <c r="F13" s="4" t="s">
        <v>74</v>
      </c>
      <c r="G13" s="4" t="s">
        <v>23</v>
      </c>
      <c r="H13" s="4" t="str">
        <f t="shared" si="0"/>
        <v>44681</v>
      </c>
      <c r="I13" s="4" t="s">
        <v>66</v>
      </c>
      <c r="J13" s="4" t="str">
        <f t="shared" si="1"/>
        <v>(P) 330-852-0004 (F) 330-852-2442 (M) 330-231-0008</v>
      </c>
      <c r="K13" s="4"/>
      <c r="L13" s="4" t="s">
        <v>1383</v>
      </c>
      <c r="M13" s="4" t="s">
        <v>1436</v>
      </c>
      <c r="N13" s="4" t="s">
        <v>1427</v>
      </c>
      <c r="O13" s="4" t="s">
        <v>23</v>
      </c>
      <c r="P13" s="4" t="str">
        <f t="shared" si="2"/>
        <v>43318</v>
      </c>
      <c r="Q13" s="4" t="s">
        <v>529</v>
      </c>
      <c r="R13" s="6">
        <v>44196</v>
      </c>
      <c r="S13" s="4" t="s">
        <v>46</v>
      </c>
    </row>
    <row r="14" spans="1:19" s="3" customFormat="1" ht="57.6" x14ac:dyDescent="0.3">
      <c r="A14" s="4" t="str">
        <f>"CB002DCH"</f>
        <v>CB002DCH</v>
      </c>
      <c r="B14" s="4" t="s">
        <v>1423</v>
      </c>
      <c r="C14" s="4" t="s">
        <v>1406</v>
      </c>
      <c r="D14" s="4" t="s">
        <v>43</v>
      </c>
      <c r="E14" s="4" t="s">
        <v>1424</v>
      </c>
      <c r="F14" s="4" t="s">
        <v>74</v>
      </c>
      <c r="G14" s="4" t="s">
        <v>23</v>
      </c>
      <c r="H14" s="4" t="str">
        <f t="shared" si="0"/>
        <v>44681</v>
      </c>
      <c r="I14" s="4" t="s">
        <v>66</v>
      </c>
      <c r="J14" s="4" t="str">
        <f t="shared" si="1"/>
        <v>(P) 330-852-0004 (F) 330-852-2442 (M) 330-231-0008</v>
      </c>
      <c r="K14" s="4"/>
      <c r="L14" s="4" t="s">
        <v>896</v>
      </c>
      <c r="M14" s="4" t="s">
        <v>1439</v>
      </c>
      <c r="N14" s="4" t="s">
        <v>1427</v>
      </c>
      <c r="O14" s="4" t="s">
        <v>23</v>
      </c>
      <c r="P14" s="4" t="str">
        <f t="shared" si="2"/>
        <v>43318</v>
      </c>
      <c r="Q14" s="4" t="s">
        <v>529</v>
      </c>
      <c r="R14" s="6">
        <v>44196</v>
      </c>
      <c r="S14" s="4" t="s">
        <v>46</v>
      </c>
    </row>
    <row r="15" spans="1:19" s="3" customFormat="1" ht="57.6" x14ac:dyDescent="0.3">
      <c r="A15" s="4" t="str">
        <f>"CB002DED"</f>
        <v>CB002DED</v>
      </c>
      <c r="B15" s="4" t="s">
        <v>1423</v>
      </c>
      <c r="C15" s="4" t="s">
        <v>1406</v>
      </c>
      <c r="D15" s="4" t="s">
        <v>43</v>
      </c>
      <c r="E15" s="4" t="s">
        <v>1424</v>
      </c>
      <c r="F15" s="4" t="s">
        <v>74</v>
      </c>
      <c r="G15" s="4" t="s">
        <v>23</v>
      </c>
      <c r="H15" s="4" t="str">
        <f t="shared" si="0"/>
        <v>44681</v>
      </c>
      <c r="I15" s="4" t="s">
        <v>66</v>
      </c>
      <c r="J15" s="4" t="str">
        <f t="shared" si="1"/>
        <v>(P) 330-852-0004 (F) 330-852-2442 (M) 330-231-0008</v>
      </c>
      <c r="K15" s="4"/>
      <c r="L15" s="4" t="s">
        <v>1444</v>
      </c>
      <c r="M15" s="4" t="s">
        <v>1440</v>
      </c>
      <c r="N15" s="4" t="s">
        <v>1427</v>
      </c>
      <c r="O15" s="4" t="s">
        <v>23</v>
      </c>
      <c r="P15" s="4" t="str">
        <f t="shared" si="2"/>
        <v>43318</v>
      </c>
      <c r="Q15" s="4" t="s">
        <v>529</v>
      </c>
      <c r="R15" s="6">
        <v>44196</v>
      </c>
      <c r="S15" s="4" t="s">
        <v>46</v>
      </c>
    </row>
    <row r="16" spans="1:19" s="3" customFormat="1" ht="57.6" x14ac:dyDescent="0.3">
      <c r="A16" s="4" t="str">
        <f>"CB002DG9"</f>
        <v>CB002DG9</v>
      </c>
      <c r="B16" s="4" t="s">
        <v>1423</v>
      </c>
      <c r="C16" s="4" t="s">
        <v>1406</v>
      </c>
      <c r="D16" s="4" t="s">
        <v>43</v>
      </c>
      <c r="E16" s="4" t="s">
        <v>1424</v>
      </c>
      <c r="F16" s="4" t="s">
        <v>74</v>
      </c>
      <c r="G16" s="4" t="s">
        <v>23</v>
      </c>
      <c r="H16" s="4" t="str">
        <f t="shared" si="0"/>
        <v>44681</v>
      </c>
      <c r="I16" s="4" t="s">
        <v>66</v>
      </c>
      <c r="J16" s="4" t="str">
        <f t="shared" si="1"/>
        <v>(P) 330-852-0004 (F) 330-852-2442 (M) 330-231-0008</v>
      </c>
      <c r="K16" s="4"/>
      <c r="L16" s="4" t="s">
        <v>1272</v>
      </c>
      <c r="M16" s="4" t="s">
        <v>1441</v>
      </c>
      <c r="N16" s="4" t="s">
        <v>1427</v>
      </c>
      <c r="O16" s="4" t="s">
        <v>23</v>
      </c>
      <c r="P16" s="4" t="str">
        <f t="shared" si="2"/>
        <v>43318</v>
      </c>
      <c r="Q16" s="4" t="s">
        <v>529</v>
      </c>
      <c r="R16" s="6">
        <v>44196</v>
      </c>
      <c r="S16" s="4" t="s">
        <v>46</v>
      </c>
    </row>
    <row r="17" spans="1:19" s="3" customFormat="1" ht="57.6" x14ac:dyDescent="0.3">
      <c r="A17" s="4" t="str">
        <f>"CB002DZA"</f>
        <v>CB002DZA</v>
      </c>
      <c r="B17" s="4" t="s">
        <v>1423</v>
      </c>
      <c r="C17" s="4" t="s">
        <v>1406</v>
      </c>
      <c r="D17" s="4" t="s">
        <v>43</v>
      </c>
      <c r="E17" s="4" t="s">
        <v>1424</v>
      </c>
      <c r="F17" s="4" t="s">
        <v>74</v>
      </c>
      <c r="G17" s="4" t="s">
        <v>23</v>
      </c>
      <c r="H17" s="4" t="str">
        <f t="shared" si="0"/>
        <v>44681</v>
      </c>
      <c r="I17" s="4" t="s">
        <v>66</v>
      </c>
      <c r="J17" s="4" t="str">
        <f t="shared" si="1"/>
        <v>(P) 330-852-0004 (F) 330-852-2442 (M) 330-231-0008</v>
      </c>
      <c r="K17" s="4"/>
      <c r="L17" s="4" t="s">
        <v>1403</v>
      </c>
      <c r="M17" s="4" t="s">
        <v>1446</v>
      </c>
      <c r="N17" s="4" t="s">
        <v>1427</v>
      </c>
      <c r="O17" s="4" t="s">
        <v>23</v>
      </c>
      <c r="P17" s="4" t="str">
        <f t="shared" si="2"/>
        <v>43318</v>
      </c>
      <c r="Q17" s="4" t="s">
        <v>66</v>
      </c>
      <c r="R17" s="6">
        <v>44196</v>
      </c>
      <c r="S17" s="4" t="s">
        <v>46</v>
      </c>
    </row>
    <row r="18" spans="1:19" s="3" customFormat="1" ht="43.2" x14ac:dyDescent="0.3">
      <c r="A18" s="4" t="str">
        <f>"CB000QGE"</f>
        <v>CB000QGE</v>
      </c>
      <c r="B18" s="4"/>
      <c r="C18" s="4" t="s">
        <v>557</v>
      </c>
      <c r="D18" s="4" t="s">
        <v>43</v>
      </c>
      <c r="E18" s="4" t="s">
        <v>558</v>
      </c>
      <c r="F18" s="4" t="s">
        <v>22</v>
      </c>
      <c r="G18" s="4" t="s">
        <v>23</v>
      </c>
      <c r="H18" s="4" t="str">
        <f>"43804"</f>
        <v>43804</v>
      </c>
      <c r="I18" s="4" t="s">
        <v>24</v>
      </c>
      <c r="J18" s="4" t="str">
        <f>"(P) 330-600-2589"</f>
        <v>(P) 330-600-2589</v>
      </c>
      <c r="K18" s="4"/>
      <c r="L18" s="4" t="s">
        <v>658</v>
      </c>
      <c r="M18" s="4" t="s">
        <v>558</v>
      </c>
      <c r="N18" s="4" t="s">
        <v>22</v>
      </c>
      <c r="O18" s="4" t="s">
        <v>23</v>
      </c>
      <c r="P18" s="4" t="str">
        <f>"43804"</f>
        <v>43804</v>
      </c>
      <c r="Q18" s="4" t="s">
        <v>24</v>
      </c>
      <c r="R18" s="6">
        <v>44196</v>
      </c>
      <c r="S18" s="4" t="s">
        <v>26</v>
      </c>
    </row>
    <row r="19" spans="1:19" s="3" customFormat="1" ht="43.2" x14ac:dyDescent="0.3">
      <c r="A19" s="4" t="str">
        <f>"CB0014R2"</f>
        <v>CB0014R2</v>
      </c>
      <c r="B19" s="4" t="s">
        <v>707</v>
      </c>
      <c r="C19" s="4" t="s">
        <v>557</v>
      </c>
      <c r="D19" s="4" t="s">
        <v>43</v>
      </c>
      <c r="E19" s="4" t="s">
        <v>708</v>
      </c>
      <c r="F19" s="4" t="s">
        <v>65</v>
      </c>
      <c r="G19" s="4" t="s">
        <v>23</v>
      </c>
      <c r="H19" s="4" t="str">
        <f>"44624"</f>
        <v>44624</v>
      </c>
      <c r="I19" s="4" t="s">
        <v>24</v>
      </c>
      <c r="J19" s="4" t="str">
        <f>"(P) 330-359-5459 (M) 330-933-4847"</f>
        <v>(P) 330-359-5459 (M) 330-933-4847</v>
      </c>
      <c r="K19" s="4"/>
      <c r="L19" s="4" t="s">
        <v>409</v>
      </c>
      <c r="M19" s="4" t="s">
        <v>708</v>
      </c>
      <c r="N19" s="4" t="s">
        <v>65</v>
      </c>
      <c r="O19" s="4" t="s">
        <v>23</v>
      </c>
      <c r="P19" s="4" t="str">
        <f>"44624"</f>
        <v>44624</v>
      </c>
      <c r="Q19" s="4" t="s">
        <v>24</v>
      </c>
      <c r="R19" s="6">
        <v>44196</v>
      </c>
      <c r="S19" s="4" t="s">
        <v>46</v>
      </c>
    </row>
    <row r="20" spans="1:19" s="3" customFormat="1" ht="43.2" x14ac:dyDescent="0.3">
      <c r="A20" s="4" t="str">
        <f>"CB0018H2"</f>
        <v>CB0018H2</v>
      </c>
      <c r="B20" s="4"/>
      <c r="C20" s="4" t="s">
        <v>557</v>
      </c>
      <c r="D20" s="4" t="s">
        <v>43</v>
      </c>
      <c r="E20" s="4" t="s">
        <v>787</v>
      </c>
      <c r="F20" s="4" t="s">
        <v>51</v>
      </c>
      <c r="G20" s="4" t="s">
        <v>23</v>
      </c>
      <c r="H20" s="4" t="str">
        <f>"44606"</f>
        <v>44606</v>
      </c>
      <c r="I20" s="4" t="s">
        <v>52</v>
      </c>
      <c r="J20" s="4" t="str">
        <f>"(P) 330-473-5797"</f>
        <v>(P) 330-473-5797</v>
      </c>
      <c r="K20" s="4"/>
      <c r="L20" s="4" t="s">
        <v>1252</v>
      </c>
      <c r="M20" s="4" t="s">
        <v>787</v>
      </c>
      <c r="N20" s="4" t="s">
        <v>51</v>
      </c>
      <c r="O20" s="4" t="s">
        <v>23</v>
      </c>
      <c r="P20" s="4" t="str">
        <f>"44606"</f>
        <v>44606</v>
      </c>
      <c r="Q20" s="4" t="s">
        <v>52</v>
      </c>
      <c r="R20" s="6">
        <v>44196</v>
      </c>
      <c r="S20" s="4" t="s">
        <v>76</v>
      </c>
    </row>
    <row r="21" spans="1:19" s="3" customFormat="1" ht="43.2" x14ac:dyDescent="0.3">
      <c r="A21" s="4" t="str">
        <f>"CB001M0F"</f>
        <v>CB001M0F</v>
      </c>
      <c r="B21" s="4"/>
      <c r="C21" s="4" t="s">
        <v>557</v>
      </c>
      <c r="D21" s="4" t="s">
        <v>1007</v>
      </c>
      <c r="E21" s="4" t="s">
        <v>1008</v>
      </c>
      <c r="F21" s="4" t="s">
        <v>99</v>
      </c>
      <c r="G21" s="4" t="s">
        <v>23</v>
      </c>
      <c r="H21" s="4" t="str">
        <f>"43824"</f>
        <v>43824</v>
      </c>
      <c r="I21" s="4" t="s">
        <v>134</v>
      </c>
      <c r="J21" s="4" t="str">
        <f>"(M) 740-610-3162"</f>
        <v>(M) 740-610-3162</v>
      </c>
      <c r="K21" s="4"/>
      <c r="L21" s="4" t="s">
        <v>940</v>
      </c>
      <c r="M21" s="4" t="s">
        <v>1008</v>
      </c>
      <c r="N21" s="4" t="s">
        <v>99</v>
      </c>
      <c r="O21" s="4" t="s">
        <v>23</v>
      </c>
      <c r="P21" s="4" t="str">
        <f>"43824"</f>
        <v>43824</v>
      </c>
      <c r="Q21" s="4" t="s">
        <v>134</v>
      </c>
      <c r="R21" s="6">
        <v>44196</v>
      </c>
      <c r="S21" s="4" t="s">
        <v>35</v>
      </c>
    </row>
    <row r="22" spans="1:19" s="3" customFormat="1" ht="43.2" x14ac:dyDescent="0.3">
      <c r="A22" s="4" t="str">
        <f>"CB002BAV"</f>
        <v>CB002BAV</v>
      </c>
      <c r="B22" s="4" t="s">
        <v>1370</v>
      </c>
      <c r="C22" s="4" t="s">
        <v>557</v>
      </c>
      <c r="D22" s="4" t="s">
        <v>270</v>
      </c>
      <c r="E22" s="4" t="s">
        <v>1371</v>
      </c>
      <c r="F22" s="4" t="s">
        <v>74</v>
      </c>
      <c r="G22" s="4" t="s">
        <v>23</v>
      </c>
      <c r="H22" s="4" t="str">
        <f>"44681"</f>
        <v>44681</v>
      </c>
      <c r="I22" s="4" t="s">
        <v>66</v>
      </c>
      <c r="J22" s="4" t="str">
        <f>"(P) 330-432-9486"</f>
        <v>(P) 330-432-9486</v>
      </c>
      <c r="K22" s="4"/>
      <c r="L22" s="4" t="s">
        <v>1177</v>
      </c>
      <c r="M22" s="4" t="s">
        <v>1371</v>
      </c>
      <c r="N22" s="4" t="s">
        <v>74</v>
      </c>
      <c r="O22" s="4" t="s">
        <v>23</v>
      </c>
      <c r="P22" s="4" t="str">
        <f>"44681"</f>
        <v>44681</v>
      </c>
      <c r="Q22" s="4" t="s">
        <v>66</v>
      </c>
      <c r="R22" s="6">
        <v>44196</v>
      </c>
      <c r="S22" s="4" t="s">
        <v>46</v>
      </c>
    </row>
    <row r="23" spans="1:19" s="3" customFormat="1" ht="43.2" x14ac:dyDescent="0.3">
      <c r="A23" s="4" t="str">
        <f>"CB0007HE"</f>
        <v>CB0007HE</v>
      </c>
      <c r="B23" s="4" t="s">
        <v>406</v>
      </c>
      <c r="C23" s="4" t="s">
        <v>407</v>
      </c>
      <c r="D23" s="4" t="s">
        <v>93</v>
      </c>
      <c r="E23" s="4" t="s">
        <v>408</v>
      </c>
      <c r="F23" s="4" t="s">
        <v>40</v>
      </c>
      <c r="G23" s="4" t="s">
        <v>23</v>
      </c>
      <c r="H23" s="4" t="str">
        <f>"44654"</f>
        <v>44654</v>
      </c>
      <c r="I23" s="4" t="s">
        <v>24</v>
      </c>
      <c r="J23" s="4" t="str">
        <f>"(P) 330-674-2883"</f>
        <v>(P) 330-674-2883</v>
      </c>
      <c r="K23" s="4"/>
      <c r="L23" s="4" t="s">
        <v>259</v>
      </c>
      <c r="M23" s="4" t="s">
        <v>408</v>
      </c>
      <c r="N23" s="4" t="s">
        <v>40</v>
      </c>
      <c r="O23" s="4" t="s">
        <v>23</v>
      </c>
      <c r="P23" s="4" t="str">
        <f>"44654"</f>
        <v>44654</v>
      </c>
      <c r="Q23" s="4" t="s">
        <v>24</v>
      </c>
      <c r="R23" s="6">
        <v>44196</v>
      </c>
      <c r="S23" s="4" t="s">
        <v>26</v>
      </c>
    </row>
    <row r="24" spans="1:19" s="3" customFormat="1" ht="43.2" x14ac:dyDescent="0.3">
      <c r="A24" s="4" t="str">
        <f>"CB0015AU"</f>
        <v>CB0015AU</v>
      </c>
      <c r="B24" s="4"/>
      <c r="C24" s="4" t="s">
        <v>407</v>
      </c>
      <c r="D24" s="4" t="s">
        <v>49</v>
      </c>
      <c r="E24" s="4" t="s">
        <v>716</v>
      </c>
      <c r="F24" s="4" t="s">
        <v>22</v>
      </c>
      <c r="G24" s="4" t="s">
        <v>23</v>
      </c>
      <c r="H24" s="4" t="str">
        <f>"43804"</f>
        <v>43804</v>
      </c>
      <c r="I24" s="4" t="s">
        <v>24</v>
      </c>
      <c r="J24" s="4" t="str">
        <f>"(M) 330-260-5109"</f>
        <v>(M) 330-260-5109</v>
      </c>
      <c r="K24" s="4"/>
      <c r="L24" s="4" t="s">
        <v>206</v>
      </c>
      <c r="M24" s="4" t="s">
        <v>716</v>
      </c>
      <c r="N24" s="4" t="s">
        <v>22</v>
      </c>
      <c r="O24" s="4" t="s">
        <v>23</v>
      </c>
      <c r="P24" s="4" t="str">
        <f>"43804"</f>
        <v>43804</v>
      </c>
      <c r="Q24" s="4" t="s">
        <v>24</v>
      </c>
      <c r="R24" s="6">
        <v>44196</v>
      </c>
      <c r="S24" s="4" t="s">
        <v>46</v>
      </c>
    </row>
    <row r="25" spans="1:19" s="3" customFormat="1" ht="43.2" x14ac:dyDescent="0.3">
      <c r="A25" s="4" t="str">
        <f>"CB001RAE"</f>
        <v>CB001RAE</v>
      </c>
      <c r="B25" s="4"/>
      <c r="C25" s="4" t="s">
        <v>407</v>
      </c>
      <c r="D25" s="4" t="s">
        <v>38</v>
      </c>
      <c r="E25" s="4" t="s">
        <v>1133</v>
      </c>
      <c r="F25" s="4" t="s">
        <v>65</v>
      </c>
      <c r="G25" s="4" t="s">
        <v>23</v>
      </c>
      <c r="H25" s="4" t="str">
        <f>"44624"</f>
        <v>44624</v>
      </c>
      <c r="I25" s="4" t="s">
        <v>66</v>
      </c>
      <c r="J25" s="4" t="str">
        <f>"(M) 330-231-0219"</f>
        <v>(M) 330-231-0219</v>
      </c>
      <c r="K25" s="4" t="s">
        <v>1134</v>
      </c>
      <c r="L25" s="4" t="s">
        <v>95</v>
      </c>
      <c r="M25" s="4" t="s">
        <v>1133</v>
      </c>
      <c r="N25" s="4" t="s">
        <v>65</v>
      </c>
      <c r="O25" s="4" t="s">
        <v>23</v>
      </c>
      <c r="P25" s="4" t="str">
        <f>"44624"</f>
        <v>44624</v>
      </c>
      <c r="Q25" s="4" t="s">
        <v>66</v>
      </c>
      <c r="R25" s="6">
        <v>44196</v>
      </c>
      <c r="S25" s="4" t="s">
        <v>35</v>
      </c>
    </row>
    <row r="26" spans="1:19" s="3" customFormat="1" ht="43.2" x14ac:dyDescent="0.3">
      <c r="A26" s="4" t="str">
        <f>"CB0002SG"</f>
        <v>CB0002SG</v>
      </c>
      <c r="B26" s="4"/>
      <c r="C26" s="4" t="s">
        <v>172</v>
      </c>
      <c r="D26" s="4" t="s">
        <v>20</v>
      </c>
      <c r="E26" s="4" t="s">
        <v>173</v>
      </c>
      <c r="F26" s="4" t="s">
        <v>174</v>
      </c>
      <c r="G26" s="4" t="s">
        <v>23</v>
      </c>
      <c r="H26" s="4" t="str">
        <f>"44676"</f>
        <v>44676</v>
      </c>
      <c r="I26" s="4" t="s">
        <v>24</v>
      </c>
      <c r="J26" s="4" t="str">
        <f>"(M) 330-317-8570"</f>
        <v>(M) 330-317-8570</v>
      </c>
      <c r="K26" s="4"/>
      <c r="L26" s="4" t="s">
        <v>949</v>
      </c>
      <c r="M26" s="4" t="s">
        <v>173</v>
      </c>
      <c r="N26" s="4" t="s">
        <v>174</v>
      </c>
      <c r="O26" s="4" t="s">
        <v>23</v>
      </c>
      <c r="P26" s="4" t="str">
        <f>"44676"</f>
        <v>44676</v>
      </c>
      <c r="Q26" s="4" t="s">
        <v>24</v>
      </c>
      <c r="R26" s="6">
        <v>44196</v>
      </c>
      <c r="S26" s="4" t="s">
        <v>46</v>
      </c>
    </row>
    <row r="27" spans="1:19" s="3" customFormat="1" ht="43.2" x14ac:dyDescent="0.3">
      <c r="A27" s="4" t="str">
        <f>"CB001AHT"</f>
        <v>CB001AHT</v>
      </c>
      <c r="B27" s="4"/>
      <c r="C27" s="4" t="s">
        <v>172</v>
      </c>
      <c r="D27" s="4" t="s">
        <v>831</v>
      </c>
      <c r="E27" s="4" t="s">
        <v>832</v>
      </c>
      <c r="F27" s="4" t="s">
        <v>795</v>
      </c>
      <c r="G27" s="4" t="s">
        <v>23</v>
      </c>
      <c r="H27" s="4" t="str">
        <f>"43019"</f>
        <v>43019</v>
      </c>
      <c r="I27" s="4" t="s">
        <v>505</v>
      </c>
      <c r="J27" s="4" t="str">
        <f>"(M) 740-694-0547"</f>
        <v>(M) 740-694-0547</v>
      </c>
      <c r="K27" s="4"/>
      <c r="L27" s="4" t="s">
        <v>1074</v>
      </c>
      <c r="M27" s="4" t="s">
        <v>832</v>
      </c>
      <c r="N27" s="4" t="s">
        <v>795</v>
      </c>
      <c r="O27" s="4" t="s">
        <v>23</v>
      </c>
      <c r="P27" s="4" t="str">
        <f>"43019"</f>
        <v>43019</v>
      </c>
      <c r="Q27" s="4" t="s">
        <v>505</v>
      </c>
      <c r="R27" s="6">
        <v>44196</v>
      </c>
      <c r="S27" s="4" t="s">
        <v>72</v>
      </c>
    </row>
    <row r="28" spans="1:19" s="3" customFormat="1" ht="43.2" x14ac:dyDescent="0.3">
      <c r="A28" s="4" t="str">
        <f>"CB001DKB"</f>
        <v>CB001DKB</v>
      </c>
      <c r="B28" s="4" t="s">
        <v>870</v>
      </c>
      <c r="C28" s="4" t="s">
        <v>172</v>
      </c>
      <c r="D28" s="4" t="s">
        <v>20</v>
      </c>
      <c r="E28" s="4" t="s">
        <v>871</v>
      </c>
      <c r="F28" s="4" t="s">
        <v>40</v>
      </c>
      <c r="G28" s="4" t="s">
        <v>23</v>
      </c>
      <c r="H28" s="4" t="str">
        <f>"44654"</f>
        <v>44654</v>
      </c>
      <c r="I28" s="4" t="s">
        <v>24</v>
      </c>
      <c r="J28" s="4" t="str">
        <f>"(P) 330-275-4316"</f>
        <v>(P) 330-275-4316</v>
      </c>
      <c r="K28" s="4"/>
      <c r="L28" s="4" t="s">
        <v>598</v>
      </c>
      <c r="M28" s="4" t="s">
        <v>871</v>
      </c>
      <c r="N28" s="4" t="s">
        <v>40</v>
      </c>
      <c r="O28" s="4" t="s">
        <v>23</v>
      </c>
      <c r="P28" s="4" t="str">
        <f>"44654"</f>
        <v>44654</v>
      </c>
      <c r="Q28" s="4" t="s">
        <v>24</v>
      </c>
      <c r="R28" s="6">
        <v>44196</v>
      </c>
      <c r="S28" s="4" t="s">
        <v>46</v>
      </c>
    </row>
    <row r="29" spans="1:19" s="3" customFormat="1" ht="43.2" x14ac:dyDescent="0.3">
      <c r="A29" s="4" t="str">
        <f>"CB001GRN"</f>
        <v>CB001GRN</v>
      </c>
      <c r="B29" s="4" t="s">
        <v>926</v>
      </c>
      <c r="C29" s="4" t="s">
        <v>927</v>
      </c>
      <c r="D29" s="4" t="s">
        <v>43</v>
      </c>
      <c r="E29" s="4" t="s">
        <v>928</v>
      </c>
      <c r="F29" s="4" t="s">
        <v>40</v>
      </c>
      <c r="G29" s="4" t="s">
        <v>23</v>
      </c>
      <c r="H29" s="4" t="str">
        <f>"44654"</f>
        <v>44654</v>
      </c>
      <c r="I29" s="4" t="s">
        <v>24</v>
      </c>
      <c r="J29" s="4" t="str">
        <f>"(P) 330-674-1820"</f>
        <v>(P) 330-674-1820</v>
      </c>
      <c r="K29" s="4"/>
      <c r="L29" s="4" t="s">
        <v>687</v>
      </c>
      <c r="M29" s="4" t="s">
        <v>928</v>
      </c>
      <c r="N29" s="4" t="s">
        <v>40</v>
      </c>
      <c r="O29" s="4" t="s">
        <v>23</v>
      </c>
      <c r="P29" s="4" t="str">
        <f>"44654"</f>
        <v>44654</v>
      </c>
      <c r="Q29" s="4" t="s">
        <v>24</v>
      </c>
      <c r="R29" s="6">
        <v>44196</v>
      </c>
      <c r="S29" s="4" t="s">
        <v>46</v>
      </c>
    </row>
    <row r="30" spans="1:19" s="3" customFormat="1" ht="43.2" x14ac:dyDescent="0.3">
      <c r="A30" s="4" t="str">
        <f>"CB0002PN"</f>
        <v>CB0002PN</v>
      </c>
      <c r="B30" s="4" t="s">
        <v>161</v>
      </c>
      <c r="C30" s="4" t="s">
        <v>162</v>
      </c>
      <c r="D30" s="4" t="s">
        <v>20</v>
      </c>
      <c r="E30" s="4" t="s">
        <v>163</v>
      </c>
      <c r="F30" s="4" t="s">
        <v>74</v>
      </c>
      <c r="G30" s="4" t="s">
        <v>23</v>
      </c>
      <c r="H30" s="4" t="str">
        <f>"44681"</f>
        <v>44681</v>
      </c>
      <c r="I30" s="4" t="s">
        <v>24</v>
      </c>
      <c r="J30" s="4" t="str">
        <f>"(P) 330-893-6007"</f>
        <v>(P) 330-893-6007</v>
      </c>
      <c r="K30" s="4"/>
      <c r="L30" s="4" t="s">
        <v>1358</v>
      </c>
      <c r="M30" s="4" t="s">
        <v>163</v>
      </c>
      <c r="N30" s="4" t="s">
        <v>74</v>
      </c>
      <c r="O30" s="4" t="s">
        <v>23</v>
      </c>
      <c r="P30" s="4" t="str">
        <f>"44681"</f>
        <v>44681</v>
      </c>
      <c r="Q30" s="4" t="s">
        <v>24</v>
      </c>
      <c r="R30" s="6">
        <v>44196</v>
      </c>
      <c r="S30" s="4" t="s">
        <v>46</v>
      </c>
    </row>
    <row r="31" spans="1:19" s="3" customFormat="1" ht="43.2" x14ac:dyDescent="0.3">
      <c r="A31" s="4" t="str">
        <f>"CB000Y9V"</f>
        <v>CB000Y9V</v>
      </c>
      <c r="B31" s="4"/>
      <c r="C31" s="4" t="s">
        <v>162</v>
      </c>
      <c r="D31" s="4" t="s">
        <v>43</v>
      </c>
      <c r="E31" s="4" t="s">
        <v>635</v>
      </c>
      <c r="F31" s="4" t="s">
        <v>40</v>
      </c>
      <c r="G31" s="4" t="s">
        <v>23</v>
      </c>
      <c r="H31" s="4" t="str">
        <f>"44654"</f>
        <v>44654</v>
      </c>
      <c r="I31" s="4" t="s">
        <v>24</v>
      </c>
      <c r="J31" s="4" t="str">
        <f>"(P) 330-600-4009"</f>
        <v>(P) 330-600-4009</v>
      </c>
      <c r="K31" s="4"/>
      <c r="L31" s="4" t="s">
        <v>1022</v>
      </c>
      <c r="M31" s="4" t="s">
        <v>635</v>
      </c>
      <c r="N31" s="4" t="s">
        <v>40</v>
      </c>
      <c r="O31" s="4" t="s">
        <v>23</v>
      </c>
      <c r="P31" s="4" t="str">
        <f>"44654"</f>
        <v>44654</v>
      </c>
      <c r="Q31" s="4" t="s">
        <v>24</v>
      </c>
      <c r="R31" s="6">
        <v>44196</v>
      </c>
      <c r="S31" s="4" t="s">
        <v>46</v>
      </c>
    </row>
    <row r="32" spans="1:19" s="3" customFormat="1" ht="43.2" x14ac:dyDescent="0.3">
      <c r="A32" s="4" t="str">
        <f>"CB001F7T"</f>
        <v>CB001F7T</v>
      </c>
      <c r="B32" s="4" t="s">
        <v>582</v>
      </c>
      <c r="C32" s="4" t="s">
        <v>162</v>
      </c>
      <c r="D32" s="4" t="s">
        <v>20</v>
      </c>
      <c r="E32" s="4" t="s">
        <v>907</v>
      </c>
      <c r="F32" s="4" t="s">
        <v>40</v>
      </c>
      <c r="G32" s="4" t="s">
        <v>23</v>
      </c>
      <c r="H32" s="4" t="str">
        <f>"44654"</f>
        <v>44654</v>
      </c>
      <c r="I32" s="4" t="s">
        <v>24</v>
      </c>
      <c r="J32" s="4" t="str">
        <f>"(P) 330-674-6679"</f>
        <v>(P) 330-674-6679</v>
      </c>
      <c r="K32" s="4"/>
      <c r="L32" s="4" t="s">
        <v>383</v>
      </c>
      <c r="M32" s="4" t="s">
        <v>907</v>
      </c>
      <c r="N32" s="4" t="s">
        <v>40</v>
      </c>
      <c r="O32" s="4" t="s">
        <v>23</v>
      </c>
      <c r="P32" s="4" t="str">
        <f>"44654"</f>
        <v>44654</v>
      </c>
      <c r="Q32" s="4" t="s">
        <v>24</v>
      </c>
      <c r="R32" s="6">
        <v>44196</v>
      </c>
      <c r="S32" s="4" t="s">
        <v>46</v>
      </c>
    </row>
    <row r="33" spans="1:19" s="3" customFormat="1" ht="43.2" x14ac:dyDescent="0.3">
      <c r="A33" s="4" t="str">
        <f>"CB001UU0"</f>
        <v>CB001UU0</v>
      </c>
      <c r="B33" s="4"/>
      <c r="C33" s="4" t="s">
        <v>162</v>
      </c>
      <c r="D33" s="4" t="s">
        <v>43</v>
      </c>
      <c r="E33" s="4" t="s">
        <v>1190</v>
      </c>
      <c r="F33" s="4" t="s">
        <v>40</v>
      </c>
      <c r="G33" s="4" t="s">
        <v>23</v>
      </c>
      <c r="H33" s="4" t="str">
        <f>"44654"</f>
        <v>44654</v>
      </c>
      <c r="I33" s="4" t="s">
        <v>24</v>
      </c>
      <c r="J33" s="4" t="str">
        <f>"(P) 330-763-3804"</f>
        <v>(P) 330-763-3804</v>
      </c>
      <c r="K33" s="4"/>
      <c r="L33" s="4" t="s">
        <v>135</v>
      </c>
      <c r="M33" s="4" t="s">
        <v>1190</v>
      </c>
      <c r="N33" s="4" t="s">
        <v>40</v>
      </c>
      <c r="O33" s="4" t="s">
        <v>23</v>
      </c>
      <c r="P33" s="4" t="str">
        <f>"44654"</f>
        <v>44654</v>
      </c>
      <c r="Q33" s="4" t="s">
        <v>24</v>
      </c>
      <c r="R33" s="6">
        <v>44196</v>
      </c>
      <c r="S33" s="4" t="s">
        <v>35</v>
      </c>
    </row>
    <row r="34" spans="1:19" s="3" customFormat="1" ht="43.2" x14ac:dyDescent="0.3">
      <c r="A34" s="4" t="str">
        <f>"CB00255W"</f>
        <v>CB00255W</v>
      </c>
      <c r="B34" s="4"/>
      <c r="C34" s="4" t="s">
        <v>162</v>
      </c>
      <c r="D34" s="4" t="s">
        <v>93</v>
      </c>
      <c r="E34" s="4" t="s">
        <v>1251</v>
      </c>
      <c r="F34" s="4" t="s">
        <v>40</v>
      </c>
      <c r="G34" s="4" t="s">
        <v>23</v>
      </c>
      <c r="H34" s="4" t="str">
        <f>"44654"</f>
        <v>44654</v>
      </c>
      <c r="I34" s="4" t="s">
        <v>24</v>
      </c>
      <c r="J34" s="4" t="str">
        <f>"(P) 330-893-3302 (M) 419-571-7515"</f>
        <v>(P) 330-893-3302 (M) 419-571-7515</v>
      </c>
      <c r="K34" s="4"/>
      <c r="L34" s="4" t="s">
        <v>960</v>
      </c>
      <c r="M34" s="4" t="s">
        <v>1251</v>
      </c>
      <c r="N34" s="4" t="s">
        <v>40</v>
      </c>
      <c r="O34" s="4" t="s">
        <v>23</v>
      </c>
      <c r="P34" s="4" t="str">
        <f>"44654"</f>
        <v>44654</v>
      </c>
      <c r="Q34" s="4" t="s">
        <v>24</v>
      </c>
      <c r="R34" s="6">
        <v>44196</v>
      </c>
      <c r="S34" s="4" t="s">
        <v>35</v>
      </c>
    </row>
    <row r="35" spans="1:19" s="3" customFormat="1" ht="43.2" x14ac:dyDescent="0.3">
      <c r="A35" s="4" t="str">
        <f>"CB001609"</f>
        <v>CB001609</v>
      </c>
      <c r="B35" s="4" t="s">
        <v>731</v>
      </c>
      <c r="C35" s="4" t="s">
        <v>732</v>
      </c>
      <c r="D35" s="4" t="s">
        <v>733</v>
      </c>
      <c r="E35" s="4" t="s">
        <v>734</v>
      </c>
      <c r="F35" s="4" t="s">
        <v>380</v>
      </c>
      <c r="G35" s="4" t="s">
        <v>23</v>
      </c>
      <c r="H35" s="4" t="str">
        <f>"45658"</f>
        <v>45658</v>
      </c>
      <c r="I35" s="4" t="s">
        <v>381</v>
      </c>
      <c r="J35" s="4" t="str">
        <f>"(P) 740-861-4318"</f>
        <v>(P) 740-861-4318</v>
      </c>
      <c r="K35" s="4"/>
      <c r="L35" s="4" t="s">
        <v>530</v>
      </c>
      <c r="M35" s="4" t="s">
        <v>736</v>
      </c>
      <c r="N35" s="4" t="s">
        <v>380</v>
      </c>
      <c r="O35" s="4" t="s">
        <v>23</v>
      </c>
      <c r="P35" s="4" t="str">
        <f>"45658"</f>
        <v>45658</v>
      </c>
      <c r="Q35" s="4" t="s">
        <v>381</v>
      </c>
      <c r="R35" s="6">
        <v>44196</v>
      </c>
      <c r="S35" s="4" t="s">
        <v>76</v>
      </c>
    </row>
    <row r="36" spans="1:19" s="3" customFormat="1" ht="43.2" x14ac:dyDescent="0.3">
      <c r="A36" s="4" t="str">
        <f>"CB001JSA"</f>
        <v>CB001JSA</v>
      </c>
      <c r="B36" s="4"/>
      <c r="C36" s="4" t="s">
        <v>938</v>
      </c>
      <c r="D36" s="4" t="s">
        <v>93</v>
      </c>
      <c r="E36" s="4" t="s">
        <v>939</v>
      </c>
      <c r="F36" s="4" t="s">
        <v>87</v>
      </c>
      <c r="G36" s="4" t="s">
        <v>23</v>
      </c>
      <c r="H36" s="4" t="str">
        <f>"44878"</f>
        <v>44878</v>
      </c>
      <c r="I36" s="4" t="s">
        <v>88</v>
      </c>
      <c r="J36" s="4" t="str">
        <f>"(P) 419-896-2108"</f>
        <v>(P) 419-896-2108</v>
      </c>
      <c r="K36" s="4"/>
      <c r="L36" s="4" t="s">
        <v>202</v>
      </c>
      <c r="M36" s="4" t="s">
        <v>939</v>
      </c>
      <c r="N36" s="4" t="s">
        <v>87</v>
      </c>
      <c r="O36" s="4" t="s">
        <v>23</v>
      </c>
      <c r="P36" s="4" t="str">
        <f>"44878"</f>
        <v>44878</v>
      </c>
      <c r="Q36" s="4" t="s">
        <v>88</v>
      </c>
      <c r="R36" s="6">
        <v>44196</v>
      </c>
      <c r="S36" s="4" t="s">
        <v>46</v>
      </c>
    </row>
    <row r="37" spans="1:19" s="3" customFormat="1" ht="43.2" x14ac:dyDescent="0.3">
      <c r="A37" s="4" t="str">
        <f>"CB001P23"</f>
        <v>CB001P23</v>
      </c>
      <c r="B37" s="4" t="s">
        <v>1060</v>
      </c>
      <c r="C37" s="4" t="s">
        <v>938</v>
      </c>
      <c r="D37" s="4" t="s">
        <v>43</v>
      </c>
      <c r="E37" s="4" t="s">
        <v>1061</v>
      </c>
      <c r="F37" s="4" t="s">
        <v>22</v>
      </c>
      <c r="G37" s="4" t="s">
        <v>23</v>
      </c>
      <c r="H37" s="4" t="str">
        <f>"43804"</f>
        <v>43804</v>
      </c>
      <c r="I37" s="4" t="s">
        <v>24</v>
      </c>
      <c r="J37" s="4" t="str">
        <f>"(P) 330-600-1735"</f>
        <v>(P) 330-600-1735</v>
      </c>
      <c r="K37" s="4"/>
      <c r="L37" s="4" t="s">
        <v>1150</v>
      </c>
      <c r="M37" s="4" t="s">
        <v>1063</v>
      </c>
      <c r="N37" s="4" t="s">
        <v>22</v>
      </c>
      <c r="O37" s="4" t="s">
        <v>23</v>
      </c>
      <c r="P37" s="4" t="str">
        <f>"43804"</f>
        <v>43804</v>
      </c>
      <c r="Q37" s="4" t="s">
        <v>24</v>
      </c>
      <c r="R37" s="6">
        <v>44196</v>
      </c>
      <c r="S37" s="4" t="s">
        <v>46</v>
      </c>
    </row>
    <row r="38" spans="1:19" s="3" customFormat="1" ht="43.2" x14ac:dyDescent="0.3">
      <c r="A38" s="4" t="str">
        <f>"CB001VQ3"</f>
        <v>CB001VQ3</v>
      </c>
      <c r="B38" s="4"/>
      <c r="C38" s="4" t="s">
        <v>1205</v>
      </c>
      <c r="D38" s="4" t="s">
        <v>43</v>
      </c>
      <c r="E38" s="4" t="s">
        <v>1206</v>
      </c>
      <c r="F38" s="4" t="s">
        <v>795</v>
      </c>
      <c r="G38" s="4" t="s">
        <v>23</v>
      </c>
      <c r="H38" s="4" t="str">
        <f>"43019"</f>
        <v>43019</v>
      </c>
      <c r="I38" s="4" t="s">
        <v>505</v>
      </c>
      <c r="J38" s="4" t="str">
        <f>""</f>
        <v/>
      </c>
      <c r="K38" s="4"/>
      <c r="L38" s="4" t="s">
        <v>306</v>
      </c>
      <c r="M38" s="4" t="s">
        <v>1206</v>
      </c>
      <c r="N38" s="4" t="s">
        <v>795</v>
      </c>
      <c r="O38" s="4" t="s">
        <v>23</v>
      </c>
      <c r="P38" s="4" t="str">
        <f>"43019"</f>
        <v>43019</v>
      </c>
      <c r="Q38" s="4" t="s">
        <v>505</v>
      </c>
      <c r="R38" s="6">
        <v>44196</v>
      </c>
      <c r="S38" s="4" t="s">
        <v>46</v>
      </c>
    </row>
    <row r="39" spans="1:19" s="3" customFormat="1" ht="43.2" x14ac:dyDescent="0.3">
      <c r="A39" s="4" t="str">
        <f>"CB002AHK"</f>
        <v>CB002AHK</v>
      </c>
      <c r="B39" s="4"/>
      <c r="C39" s="4" t="s">
        <v>1205</v>
      </c>
      <c r="D39" s="4" t="s">
        <v>43</v>
      </c>
      <c r="E39" s="4" t="s">
        <v>1330</v>
      </c>
      <c r="F39" s="4" t="s">
        <v>22</v>
      </c>
      <c r="G39" s="4" t="s">
        <v>23</v>
      </c>
      <c r="H39" s="4" t="str">
        <f>"43804"</f>
        <v>43804</v>
      </c>
      <c r="I39" s="4" t="s">
        <v>24</v>
      </c>
      <c r="J39" s="4" t="str">
        <f>"(P) 330-600-7518"</f>
        <v>(P) 330-600-7518</v>
      </c>
      <c r="K39" s="4"/>
      <c r="L39" s="4" t="s">
        <v>1396</v>
      </c>
      <c r="M39" s="4" t="s">
        <v>1330</v>
      </c>
      <c r="N39" s="4" t="s">
        <v>22</v>
      </c>
      <c r="O39" s="4" t="s">
        <v>23</v>
      </c>
      <c r="P39" s="4" t="str">
        <f>"43804"</f>
        <v>43804</v>
      </c>
      <c r="Q39" s="4" t="s">
        <v>24</v>
      </c>
      <c r="R39" s="6">
        <v>44196</v>
      </c>
      <c r="S39" s="4" t="s">
        <v>46</v>
      </c>
    </row>
    <row r="40" spans="1:19" s="3" customFormat="1" ht="43.2" x14ac:dyDescent="0.3">
      <c r="A40" s="4" t="str">
        <f>"CB001NST"</f>
        <v>CB001NST</v>
      </c>
      <c r="B40" s="4" t="s">
        <v>1041</v>
      </c>
      <c r="C40" s="4" t="s">
        <v>1042</v>
      </c>
      <c r="D40" s="4" t="s">
        <v>864</v>
      </c>
      <c r="E40" s="4" t="s">
        <v>1043</v>
      </c>
      <c r="F40" s="4" t="s">
        <v>40</v>
      </c>
      <c r="G40" s="4" t="s">
        <v>23</v>
      </c>
      <c r="H40" s="4" t="str">
        <f>"44654"</f>
        <v>44654</v>
      </c>
      <c r="I40" s="4" t="s">
        <v>24</v>
      </c>
      <c r="J40" s="4" t="str">
        <f>"(P) 330-359-5685 (M) 330-231-4163"</f>
        <v>(P) 330-359-5685 (M) 330-231-4163</v>
      </c>
      <c r="K40" s="4"/>
      <c r="L40" s="4" t="s">
        <v>457</v>
      </c>
      <c r="M40" s="4" t="s">
        <v>1043</v>
      </c>
      <c r="N40" s="4" t="s">
        <v>40</v>
      </c>
      <c r="O40" s="4" t="s">
        <v>23</v>
      </c>
      <c r="P40" s="4" t="str">
        <f>"44654"</f>
        <v>44654</v>
      </c>
      <c r="Q40" s="4" t="s">
        <v>24</v>
      </c>
      <c r="R40" s="6">
        <v>44196</v>
      </c>
      <c r="S40" s="4" t="s">
        <v>46</v>
      </c>
    </row>
    <row r="41" spans="1:19" s="3" customFormat="1" ht="43.2" x14ac:dyDescent="0.3">
      <c r="A41" s="4" t="str">
        <f>"CB002BL9"</f>
        <v>CB002BL9</v>
      </c>
      <c r="B41" s="4" t="s">
        <v>1387</v>
      </c>
      <c r="C41" s="4" t="s">
        <v>1042</v>
      </c>
      <c r="D41" s="4" t="s">
        <v>49</v>
      </c>
      <c r="E41" s="4" t="s">
        <v>1388</v>
      </c>
      <c r="F41" s="4" t="s">
        <v>22</v>
      </c>
      <c r="G41" s="4" t="s">
        <v>23</v>
      </c>
      <c r="H41" s="4" t="str">
        <f>"43804"</f>
        <v>43804</v>
      </c>
      <c r="I41" s="4" t="s">
        <v>66</v>
      </c>
      <c r="J41" s="4" t="str">
        <f>"(P) 330-600-5472"</f>
        <v>(P) 330-600-5472</v>
      </c>
      <c r="K41" s="4"/>
      <c r="L41" s="4" t="s">
        <v>1125</v>
      </c>
      <c r="M41" s="4" t="s">
        <v>1388</v>
      </c>
      <c r="N41" s="4" t="s">
        <v>22</v>
      </c>
      <c r="O41" s="4" t="s">
        <v>23</v>
      </c>
      <c r="P41" s="4" t="str">
        <f>"43804"</f>
        <v>43804</v>
      </c>
      <c r="Q41" s="4" t="s">
        <v>66</v>
      </c>
      <c r="R41" s="6">
        <v>44196</v>
      </c>
      <c r="S41" s="4" t="s">
        <v>46</v>
      </c>
    </row>
    <row r="42" spans="1:19" s="3" customFormat="1" ht="43.2" x14ac:dyDescent="0.3">
      <c r="A42" s="4" t="str">
        <f>"CB000102"</f>
        <v>CB000102</v>
      </c>
      <c r="B42" s="4" t="s">
        <v>113</v>
      </c>
      <c r="C42" s="4" t="s">
        <v>114</v>
      </c>
      <c r="D42" s="4" t="s">
        <v>43</v>
      </c>
      <c r="E42" s="4" t="s">
        <v>115</v>
      </c>
      <c r="F42" s="4" t="s">
        <v>40</v>
      </c>
      <c r="G42" s="4" t="s">
        <v>23</v>
      </c>
      <c r="H42" s="4" t="str">
        <f>"44654"</f>
        <v>44654</v>
      </c>
      <c r="I42" s="4" t="s">
        <v>24</v>
      </c>
      <c r="J42" s="4" t="str">
        <f>"(M) 330-674-0690"</f>
        <v>(M) 330-674-0690</v>
      </c>
      <c r="K42" s="4"/>
      <c r="L42" s="4" t="s">
        <v>405</v>
      </c>
      <c r="M42" s="4" t="s">
        <v>115</v>
      </c>
      <c r="N42" s="4" t="s">
        <v>40</v>
      </c>
      <c r="O42" s="4" t="s">
        <v>23</v>
      </c>
      <c r="P42" s="4" t="str">
        <f>"44654"</f>
        <v>44654</v>
      </c>
      <c r="Q42" s="4" t="s">
        <v>24</v>
      </c>
      <c r="R42" s="6">
        <v>44196</v>
      </c>
      <c r="S42" s="4" t="s">
        <v>26</v>
      </c>
    </row>
    <row r="43" spans="1:19" s="3" customFormat="1" ht="43.2" x14ac:dyDescent="0.3">
      <c r="A43" s="4" t="str">
        <f>"CB00031T"</f>
        <v>CB00031T</v>
      </c>
      <c r="B43" s="4" t="s">
        <v>193</v>
      </c>
      <c r="C43" s="4" t="s">
        <v>114</v>
      </c>
      <c r="D43" s="4" t="s">
        <v>43</v>
      </c>
      <c r="E43" s="4" t="s">
        <v>194</v>
      </c>
      <c r="F43" s="4" t="s">
        <v>74</v>
      </c>
      <c r="G43" s="4" t="s">
        <v>23</v>
      </c>
      <c r="H43" s="4" t="str">
        <f>"44681"</f>
        <v>44681</v>
      </c>
      <c r="I43" s="4" t="s">
        <v>24</v>
      </c>
      <c r="J43" s="4" t="str">
        <f>"(P) 330-852-1084"</f>
        <v>(P) 330-852-1084</v>
      </c>
      <c r="K43" s="4"/>
      <c r="L43" s="4" t="s">
        <v>130</v>
      </c>
      <c r="M43" s="4" t="s">
        <v>194</v>
      </c>
      <c r="N43" s="4" t="s">
        <v>74</v>
      </c>
      <c r="O43" s="4" t="s">
        <v>23</v>
      </c>
      <c r="P43" s="4" t="str">
        <f>"44681"</f>
        <v>44681</v>
      </c>
      <c r="Q43" s="4" t="s">
        <v>24</v>
      </c>
      <c r="R43" s="6">
        <v>44196</v>
      </c>
      <c r="S43" s="4" t="s">
        <v>72</v>
      </c>
    </row>
    <row r="44" spans="1:19" s="3" customFormat="1" ht="43.2" x14ac:dyDescent="0.3">
      <c r="A44" s="4" t="str">
        <f>"CB000N91"</f>
        <v>CB000N91</v>
      </c>
      <c r="B44" s="4" t="s">
        <v>489</v>
      </c>
      <c r="C44" s="4" t="s">
        <v>114</v>
      </c>
      <c r="D44" s="4" t="s">
        <v>49</v>
      </c>
      <c r="E44" s="4" t="s">
        <v>490</v>
      </c>
      <c r="F44" s="4" t="s">
        <v>40</v>
      </c>
      <c r="G44" s="4" t="s">
        <v>23</v>
      </c>
      <c r="H44" s="4" t="str">
        <f>"44654"</f>
        <v>44654</v>
      </c>
      <c r="I44" s="4" t="s">
        <v>24</v>
      </c>
      <c r="J44" s="4" t="str">
        <f>"(M) 330-473-5926"</f>
        <v>(M) 330-473-5926</v>
      </c>
      <c r="K44" s="4"/>
      <c r="L44" s="4" t="s">
        <v>581</v>
      </c>
      <c r="M44" s="4" t="s">
        <v>490</v>
      </c>
      <c r="N44" s="4" t="s">
        <v>40</v>
      </c>
      <c r="O44" s="4" t="s">
        <v>23</v>
      </c>
      <c r="P44" s="4" t="str">
        <f>"44654"</f>
        <v>44654</v>
      </c>
      <c r="Q44" s="4" t="s">
        <v>24</v>
      </c>
      <c r="R44" s="6">
        <v>44196</v>
      </c>
      <c r="S44" s="4" t="s">
        <v>76</v>
      </c>
    </row>
    <row r="45" spans="1:19" s="3" customFormat="1" ht="43.2" x14ac:dyDescent="0.3">
      <c r="A45" s="4" t="str">
        <f>"CB000PEN"</f>
        <v>CB000PEN</v>
      </c>
      <c r="B45" s="4" t="s">
        <v>542</v>
      </c>
      <c r="C45" s="4" t="s">
        <v>114</v>
      </c>
      <c r="D45" s="4" t="s">
        <v>539</v>
      </c>
      <c r="E45" s="4" t="s">
        <v>543</v>
      </c>
      <c r="F45" s="4" t="s">
        <v>544</v>
      </c>
      <c r="G45" s="4" t="s">
        <v>23</v>
      </c>
      <c r="H45" s="4" t="str">
        <f>"43028"</f>
        <v>43028</v>
      </c>
      <c r="I45" s="4" t="s">
        <v>505</v>
      </c>
      <c r="J45" s="4" t="str">
        <f>"(M) 740-599-9690"</f>
        <v>(M) 740-599-9690</v>
      </c>
      <c r="K45" s="4"/>
      <c r="L45" s="4" t="s">
        <v>426</v>
      </c>
      <c r="M45" s="4" t="s">
        <v>543</v>
      </c>
      <c r="N45" s="4" t="s">
        <v>544</v>
      </c>
      <c r="O45" s="4" t="s">
        <v>23</v>
      </c>
      <c r="P45" s="4" t="str">
        <f>"43028"</f>
        <v>43028</v>
      </c>
      <c r="Q45" s="4" t="s">
        <v>505</v>
      </c>
      <c r="R45" s="6">
        <v>44196</v>
      </c>
      <c r="S45" s="4" t="s">
        <v>46</v>
      </c>
    </row>
    <row r="46" spans="1:19" s="3" customFormat="1" ht="43.2" x14ac:dyDescent="0.3">
      <c r="A46" s="4" t="str">
        <f>"CB001M55"</f>
        <v>CB001M55</v>
      </c>
      <c r="B46" s="4" t="s">
        <v>1010</v>
      </c>
      <c r="C46" s="4" t="s">
        <v>114</v>
      </c>
      <c r="D46" s="4" t="s">
        <v>539</v>
      </c>
      <c r="E46" s="4" t="s">
        <v>1011</v>
      </c>
      <c r="F46" s="4" t="s">
        <v>22</v>
      </c>
      <c r="G46" s="4" t="s">
        <v>23</v>
      </c>
      <c r="H46" s="4" t="str">
        <f>"43804"</f>
        <v>43804</v>
      </c>
      <c r="I46" s="4" t="s">
        <v>24</v>
      </c>
      <c r="J46" s="4" t="str">
        <f>"(P) 330-893-4140"</f>
        <v>(P) 330-893-4140</v>
      </c>
      <c r="K46" s="4"/>
      <c r="L46" s="4" t="s">
        <v>255</v>
      </c>
      <c r="M46" s="4" t="s">
        <v>1011</v>
      </c>
      <c r="N46" s="4" t="s">
        <v>22</v>
      </c>
      <c r="O46" s="4" t="s">
        <v>23</v>
      </c>
      <c r="P46" s="4" t="str">
        <f>"43804"</f>
        <v>43804</v>
      </c>
      <c r="Q46" s="4" t="s">
        <v>24</v>
      </c>
      <c r="R46" s="6">
        <v>44196</v>
      </c>
      <c r="S46" s="4" t="s">
        <v>76</v>
      </c>
    </row>
    <row r="47" spans="1:19" s="3" customFormat="1" ht="43.2" x14ac:dyDescent="0.3">
      <c r="A47" s="4" t="str">
        <f>"CB001QMV"</f>
        <v>CB001QMV</v>
      </c>
      <c r="B47" s="4"/>
      <c r="C47" s="4" t="s">
        <v>114</v>
      </c>
      <c r="D47" s="4" t="s">
        <v>502</v>
      </c>
      <c r="E47" s="4" t="s">
        <v>1126</v>
      </c>
      <c r="F47" s="4" t="s">
        <v>608</v>
      </c>
      <c r="G47" s="4" t="s">
        <v>23</v>
      </c>
      <c r="H47" s="4" t="str">
        <f>"44633"</f>
        <v>44633</v>
      </c>
      <c r="I47" s="4" t="s">
        <v>24</v>
      </c>
      <c r="J47" s="4" t="str">
        <f>"(P) 330-695-2164 (M) 330-231-7951"</f>
        <v>(P) 330-695-2164 (M) 330-231-7951</v>
      </c>
      <c r="K47" s="4"/>
      <c r="L47" s="4" t="s">
        <v>1347</v>
      </c>
      <c r="M47" s="4" t="s">
        <v>1126</v>
      </c>
      <c r="N47" s="4" t="s">
        <v>608</v>
      </c>
      <c r="O47" s="4" t="s">
        <v>23</v>
      </c>
      <c r="P47" s="4" t="str">
        <f>"44633"</f>
        <v>44633</v>
      </c>
      <c r="Q47" s="4" t="s">
        <v>24</v>
      </c>
      <c r="R47" s="6">
        <v>44196</v>
      </c>
      <c r="S47" s="4" t="s">
        <v>35</v>
      </c>
    </row>
    <row r="48" spans="1:19" s="3" customFormat="1" ht="43.2" x14ac:dyDescent="0.3">
      <c r="A48" s="4" t="str">
        <f>"CB0028PF"</f>
        <v>CB0028PF</v>
      </c>
      <c r="B48" s="4" t="s">
        <v>1301</v>
      </c>
      <c r="C48" s="4" t="s">
        <v>114</v>
      </c>
      <c r="D48" s="4" t="s">
        <v>59</v>
      </c>
      <c r="E48" s="4" t="s">
        <v>1302</v>
      </c>
      <c r="F48" s="4" t="s">
        <v>22</v>
      </c>
      <c r="G48" s="4" t="s">
        <v>23</v>
      </c>
      <c r="H48" s="4" t="str">
        <f>"43804"</f>
        <v>43804</v>
      </c>
      <c r="I48" s="4" t="s">
        <v>24</v>
      </c>
      <c r="J48" s="4" t="str">
        <f>"(P) 330-897-8016 (M) 330-440-2832"</f>
        <v>(P) 330-897-8016 (M) 330-440-2832</v>
      </c>
      <c r="K48" s="4"/>
      <c r="L48" s="4" t="s">
        <v>424</v>
      </c>
      <c r="M48" s="4" t="s">
        <v>1302</v>
      </c>
      <c r="N48" s="4" t="s">
        <v>22</v>
      </c>
      <c r="O48" s="4" t="s">
        <v>23</v>
      </c>
      <c r="P48" s="4" t="str">
        <f>"43804"</f>
        <v>43804</v>
      </c>
      <c r="Q48" s="4" t="s">
        <v>24</v>
      </c>
      <c r="R48" s="6">
        <v>44196</v>
      </c>
      <c r="S48" s="4" t="s">
        <v>46</v>
      </c>
    </row>
    <row r="49" spans="1:19" s="3" customFormat="1" ht="43.2" x14ac:dyDescent="0.3">
      <c r="A49" s="4" t="str">
        <f>"CB002AZN"</f>
        <v>CB002AZN</v>
      </c>
      <c r="B49" s="4"/>
      <c r="C49" s="4" t="s">
        <v>114</v>
      </c>
      <c r="D49" s="4" t="s">
        <v>59</v>
      </c>
      <c r="E49" s="4" t="s">
        <v>1359</v>
      </c>
      <c r="F49" s="4" t="s">
        <v>22</v>
      </c>
      <c r="G49" s="4" t="s">
        <v>23</v>
      </c>
      <c r="H49" s="4" t="str">
        <f>"43804"</f>
        <v>43804</v>
      </c>
      <c r="I49" s="4" t="s">
        <v>24</v>
      </c>
      <c r="J49" s="4" t="str">
        <f>"(P) 330-600-0391"</f>
        <v>(P) 330-600-0391</v>
      </c>
      <c r="K49" s="4"/>
      <c r="L49" s="4" t="s">
        <v>722</v>
      </c>
      <c r="M49" s="4" t="s">
        <v>1359</v>
      </c>
      <c r="N49" s="4" t="s">
        <v>22</v>
      </c>
      <c r="O49" s="4" t="s">
        <v>23</v>
      </c>
      <c r="P49" s="4" t="str">
        <f>"43804"</f>
        <v>43804</v>
      </c>
      <c r="Q49" s="4" t="s">
        <v>24</v>
      </c>
      <c r="R49" s="6">
        <v>44196</v>
      </c>
      <c r="S49" s="4" t="s">
        <v>35</v>
      </c>
    </row>
    <row r="50" spans="1:19" s="3" customFormat="1" ht="43.2" x14ac:dyDescent="0.3">
      <c r="A50" s="4" t="str">
        <f>"CB001P5Y"</f>
        <v>CB001P5Y</v>
      </c>
      <c r="B50" s="4"/>
      <c r="C50" s="4" t="s">
        <v>1064</v>
      </c>
      <c r="D50" s="4" t="s">
        <v>1065</v>
      </c>
      <c r="E50" s="4" t="s">
        <v>1066</v>
      </c>
      <c r="F50" s="4" t="s">
        <v>336</v>
      </c>
      <c r="G50" s="4" t="s">
        <v>23</v>
      </c>
      <c r="H50" s="4" t="str">
        <f>"43558"</f>
        <v>43558</v>
      </c>
      <c r="I50" s="4" t="s">
        <v>32</v>
      </c>
      <c r="J50" s="4" t="str">
        <f>"(M) 419-297-5708"</f>
        <v>(M) 419-297-5708</v>
      </c>
      <c r="K50" s="4" t="s">
        <v>1067</v>
      </c>
      <c r="L50" s="4" t="s">
        <v>346</v>
      </c>
      <c r="M50" s="4" t="s">
        <v>1066</v>
      </c>
      <c r="N50" s="4" t="s">
        <v>336</v>
      </c>
      <c r="O50" s="4" t="s">
        <v>23</v>
      </c>
      <c r="P50" s="4" t="str">
        <f>"43558"</f>
        <v>43558</v>
      </c>
      <c r="Q50" s="4" t="s">
        <v>32</v>
      </c>
      <c r="R50" s="6">
        <v>44196</v>
      </c>
      <c r="S50" s="4" t="s">
        <v>76</v>
      </c>
    </row>
    <row r="51" spans="1:19" s="3" customFormat="1" ht="43.2" x14ac:dyDescent="0.3">
      <c r="A51" s="4" t="str">
        <f>"CB000Q60"</f>
        <v>CB000Q60</v>
      </c>
      <c r="B51" s="4" t="s">
        <v>549</v>
      </c>
      <c r="C51" s="4" t="s">
        <v>550</v>
      </c>
      <c r="D51" s="4" t="s">
        <v>59</v>
      </c>
      <c r="E51" s="4" t="s">
        <v>551</v>
      </c>
      <c r="F51" s="4" t="s">
        <v>40</v>
      </c>
      <c r="G51" s="4" t="s">
        <v>23</v>
      </c>
      <c r="H51" s="4" t="str">
        <f>"44654"</f>
        <v>44654</v>
      </c>
      <c r="I51" s="4" t="s">
        <v>24</v>
      </c>
      <c r="J51" s="4" t="str">
        <f>"(P) 330-893-2042"</f>
        <v>(P) 330-893-2042</v>
      </c>
      <c r="K51" s="4" t="s">
        <v>552</v>
      </c>
      <c r="L51" s="4" t="s">
        <v>288</v>
      </c>
      <c r="M51" s="4" t="s">
        <v>551</v>
      </c>
      <c r="N51" s="4" t="s">
        <v>40</v>
      </c>
      <c r="O51" s="4" t="s">
        <v>23</v>
      </c>
      <c r="P51" s="4" t="str">
        <f>"44654"</f>
        <v>44654</v>
      </c>
      <c r="Q51" s="4" t="s">
        <v>24</v>
      </c>
      <c r="R51" s="6">
        <v>44196</v>
      </c>
      <c r="S51" s="4" t="s">
        <v>76</v>
      </c>
    </row>
    <row r="52" spans="1:19" s="3" customFormat="1" ht="43.2" x14ac:dyDescent="0.3">
      <c r="A52" s="4" t="str">
        <f>"CB0019AC"</f>
        <v>CB0019AC</v>
      </c>
      <c r="B52" s="4" t="s">
        <v>811</v>
      </c>
      <c r="C52" s="4" t="s">
        <v>550</v>
      </c>
      <c r="D52" s="4" t="s">
        <v>59</v>
      </c>
      <c r="E52" s="4" t="s">
        <v>812</v>
      </c>
      <c r="F52" s="4" t="s">
        <v>22</v>
      </c>
      <c r="G52" s="4" t="s">
        <v>23</v>
      </c>
      <c r="H52" s="4" t="str">
        <f>"43804"</f>
        <v>43804</v>
      </c>
      <c r="I52" s="4" t="s">
        <v>24</v>
      </c>
      <c r="J52" s="4" t="str">
        <f>"(P) 330-600-9943 (F) 844-501-0927"</f>
        <v>(P) 330-600-9943 (F) 844-501-0927</v>
      </c>
      <c r="K52" s="4"/>
      <c r="L52" s="4" t="s">
        <v>245</v>
      </c>
      <c r="M52" s="4" t="s">
        <v>814</v>
      </c>
      <c r="N52" s="4" t="s">
        <v>22</v>
      </c>
      <c r="O52" s="4" t="s">
        <v>23</v>
      </c>
      <c r="P52" s="4" t="str">
        <f>"43804"</f>
        <v>43804</v>
      </c>
      <c r="Q52" s="4" t="s">
        <v>24</v>
      </c>
      <c r="R52" s="6">
        <v>44196</v>
      </c>
      <c r="S52" s="4" t="s">
        <v>72</v>
      </c>
    </row>
    <row r="53" spans="1:19" s="3" customFormat="1" ht="43.2" x14ac:dyDescent="0.3">
      <c r="A53" s="4" t="str">
        <f>"CB001A5J"</f>
        <v>CB001A5J</v>
      </c>
      <c r="B53" s="4"/>
      <c r="C53" s="4" t="s">
        <v>550</v>
      </c>
      <c r="D53" s="4" t="s">
        <v>546</v>
      </c>
      <c r="E53" s="4" t="s">
        <v>824</v>
      </c>
      <c r="F53" s="4" t="s">
        <v>22</v>
      </c>
      <c r="G53" s="4" t="s">
        <v>23</v>
      </c>
      <c r="H53" s="4" t="str">
        <f>"43804"</f>
        <v>43804</v>
      </c>
      <c r="I53" s="4" t="s">
        <v>24</v>
      </c>
      <c r="J53" s="4" t="str">
        <f>"(P) 330-897-8460"</f>
        <v>(P) 330-897-8460</v>
      </c>
      <c r="K53" s="4"/>
      <c r="L53" s="4" t="s">
        <v>488</v>
      </c>
      <c r="M53" s="4" t="s">
        <v>824</v>
      </c>
      <c r="N53" s="4" t="s">
        <v>22</v>
      </c>
      <c r="O53" s="4" t="s">
        <v>23</v>
      </c>
      <c r="P53" s="4" t="str">
        <f>"43804"</f>
        <v>43804</v>
      </c>
      <c r="Q53" s="4" t="s">
        <v>24</v>
      </c>
      <c r="R53" s="6">
        <v>44196</v>
      </c>
      <c r="S53" s="4" t="s">
        <v>76</v>
      </c>
    </row>
    <row r="54" spans="1:19" s="3" customFormat="1" ht="43.2" x14ac:dyDescent="0.3">
      <c r="A54" s="4" t="str">
        <f>"CB001EGD"</f>
        <v>CB001EGD</v>
      </c>
      <c r="B54" s="4"/>
      <c r="C54" s="4" t="s">
        <v>550</v>
      </c>
      <c r="D54" s="4" t="s">
        <v>20</v>
      </c>
      <c r="E54" s="4" t="s">
        <v>903</v>
      </c>
      <c r="F54" s="4" t="s">
        <v>74</v>
      </c>
      <c r="G54" s="4" t="s">
        <v>23</v>
      </c>
      <c r="H54" s="4" t="str">
        <f>"44681"</f>
        <v>44681</v>
      </c>
      <c r="I54" s="4" t="s">
        <v>66</v>
      </c>
      <c r="J54" s="4" t="str">
        <f>"(M) 330-600-9369"</f>
        <v>(M) 330-600-9369</v>
      </c>
      <c r="K54" s="4"/>
      <c r="L54" s="4" t="s">
        <v>234</v>
      </c>
      <c r="M54" s="4" t="s">
        <v>903</v>
      </c>
      <c r="N54" s="4" t="s">
        <v>74</v>
      </c>
      <c r="O54" s="4" t="s">
        <v>23</v>
      </c>
      <c r="P54" s="4" t="str">
        <f>"44681"</f>
        <v>44681</v>
      </c>
      <c r="Q54" s="4" t="s">
        <v>66</v>
      </c>
      <c r="R54" s="6">
        <v>44196</v>
      </c>
      <c r="S54" s="4" t="s">
        <v>46</v>
      </c>
    </row>
    <row r="55" spans="1:19" s="3" customFormat="1" ht="43.2" x14ac:dyDescent="0.3">
      <c r="A55" s="4" t="str">
        <f>"CB0025AL"</f>
        <v>CB0025AL</v>
      </c>
      <c r="B55" s="4"/>
      <c r="C55" s="4" t="s">
        <v>550</v>
      </c>
      <c r="D55" s="4" t="s">
        <v>49</v>
      </c>
      <c r="E55" s="4" t="s">
        <v>1253</v>
      </c>
      <c r="F55" s="4" t="s">
        <v>74</v>
      </c>
      <c r="G55" s="4" t="s">
        <v>23</v>
      </c>
      <c r="H55" s="4" t="str">
        <f>"44681"</f>
        <v>44681</v>
      </c>
      <c r="I55" s="4" t="s">
        <v>66</v>
      </c>
      <c r="J55" s="4" t="str">
        <f>"(P) 300-600-1696 (P) 300-231-9988"</f>
        <v>(P) 300-600-1696 (P) 300-231-9988</v>
      </c>
      <c r="K55" s="4" t="s">
        <v>1254</v>
      </c>
      <c r="L55" s="4" t="s">
        <v>1091</v>
      </c>
      <c r="M55" s="4" t="s">
        <v>1253</v>
      </c>
      <c r="N55" s="4" t="s">
        <v>74</v>
      </c>
      <c r="O55" s="4" t="s">
        <v>23</v>
      </c>
      <c r="P55" s="4" t="str">
        <f>"44681"</f>
        <v>44681</v>
      </c>
      <c r="Q55" s="4" t="s">
        <v>66</v>
      </c>
      <c r="R55" s="6">
        <v>44196</v>
      </c>
      <c r="S55" s="4" t="s">
        <v>35</v>
      </c>
    </row>
    <row r="56" spans="1:19" s="3" customFormat="1" ht="43.2" x14ac:dyDescent="0.3">
      <c r="A56" s="4" t="str">
        <f>"CB00281S"</f>
        <v>CB00281S</v>
      </c>
      <c r="B56" s="4"/>
      <c r="C56" s="4" t="s">
        <v>550</v>
      </c>
      <c r="D56" s="4" t="s">
        <v>798</v>
      </c>
      <c r="E56" s="4" t="s">
        <v>1283</v>
      </c>
      <c r="F56" s="4" t="s">
        <v>795</v>
      </c>
      <c r="G56" s="4" t="s">
        <v>23</v>
      </c>
      <c r="H56" s="4" t="str">
        <f>"43019"</f>
        <v>43019</v>
      </c>
      <c r="I56" s="4" t="s">
        <v>505</v>
      </c>
      <c r="J56" s="4" t="str">
        <f>""</f>
        <v/>
      </c>
      <c r="K56" s="4"/>
      <c r="L56" s="4" t="s">
        <v>735</v>
      </c>
      <c r="M56" s="4" t="s">
        <v>1283</v>
      </c>
      <c r="N56" s="4" t="s">
        <v>795</v>
      </c>
      <c r="O56" s="4" t="s">
        <v>23</v>
      </c>
      <c r="P56" s="4" t="str">
        <f>"43019"</f>
        <v>43019</v>
      </c>
      <c r="Q56" s="4" t="s">
        <v>505</v>
      </c>
      <c r="R56" s="6">
        <v>44196</v>
      </c>
      <c r="S56" s="4" t="s">
        <v>46</v>
      </c>
    </row>
    <row r="57" spans="1:19" s="3" customFormat="1" ht="43.2" x14ac:dyDescent="0.3">
      <c r="A57" s="4" t="str">
        <f>"CB002C1A"</f>
        <v>CB002C1A</v>
      </c>
      <c r="B57" s="4" t="s">
        <v>1397</v>
      </c>
      <c r="C57" s="4" t="s">
        <v>1398</v>
      </c>
      <c r="D57" s="4" t="s">
        <v>1399</v>
      </c>
      <c r="E57" s="4" t="s">
        <v>1400</v>
      </c>
      <c r="F57" s="4" t="s">
        <v>1401</v>
      </c>
      <c r="G57" s="4" t="s">
        <v>23</v>
      </c>
      <c r="H57" s="4" t="str">
        <f>"45135"</f>
        <v>45135</v>
      </c>
      <c r="I57" s="4" t="s">
        <v>318</v>
      </c>
      <c r="J57" s="4" t="str">
        <f>"(P) 937-403-1039"</f>
        <v>(P) 937-403-1039</v>
      </c>
      <c r="K57" s="4" t="s">
        <v>1402</v>
      </c>
      <c r="L57" s="4" t="s">
        <v>1036</v>
      </c>
      <c r="M57" s="4" t="s">
        <v>1400</v>
      </c>
      <c r="N57" s="4" t="s">
        <v>1401</v>
      </c>
      <c r="O57" s="4" t="s">
        <v>23</v>
      </c>
      <c r="P57" s="4" t="str">
        <f>"45135"</f>
        <v>45135</v>
      </c>
      <c r="Q57" s="4" t="s">
        <v>318</v>
      </c>
      <c r="R57" s="6">
        <v>44196</v>
      </c>
      <c r="S57" s="4" t="s">
        <v>76</v>
      </c>
    </row>
    <row r="58" spans="1:19" s="3" customFormat="1" ht="43.2" x14ac:dyDescent="0.3">
      <c r="A58" s="4" t="str">
        <f>"CB0017CG"</f>
        <v>CB0017CG</v>
      </c>
      <c r="B58" s="4" t="s">
        <v>760</v>
      </c>
      <c r="C58" s="4" t="s">
        <v>761</v>
      </c>
      <c r="D58" s="4" t="s">
        <v>762</v>
      </c>
      <c r="E58" s="4" t="s">
        <v>763</v>
      </c>
      <c r="F58" s="4" t="s">
        <v>764</v>
      </c>
      <c r="G58" s="4" t="s">
        <v>23</v>
      </c>
      <c r="H58" s="4" t="str">
        <f>"43318"</f>
        <v>43318</v>
      </c>
      <c r="I58" s="4" t="s">
        <v>529</v>
      </c>
      <c r="J58" s="4" t="str">
        <f>"(P) 937-585-4818 (M) 937-844-3557"</f>
        <v>(P) 937-585-4818 (M) 937-844-3557</v>
      </c>
      <c r="K58" s="4" t="s">
        <v>765</v>
      </c>
      <c r="L58" s="4" t="s">
        <v>106</v>
      </c>
      <c r="M58" s="4" t="s">
        <v>763</v>
      </c>
      <c r="N58" s="4" t="s">
        <v>764</v>
      </c>
      <c r="O58" s="4" t="s">
        <v>23</v>
      </c>
      <c r="P58" s="4" t="str">
        <f>"43318"</f>
        <v>43318</v>
      </c>
      <c r="Q58" s="4" t="s">
        <v>529</v>
      </c>
      <c r="R58" s="6">
        <v>44196</v>
      </c>
      <c r="S58" s="4" t="s">
        <v>46</v>
      </c>
    </row>
    <row r="59" spans="1:19" s="3" customFormat="1" ht="43.2" x14ac:dyDescent="0.3">
      <c r="A59" s="4" t="str">
        <f>"CB0004NG"</f>
        <v>CB0004NG</v>
      </c>
      <c r="B59" s="4"/>
      <c r="C59" s="4" t="s">
        <v>260</v>
      </c>
      <c r="D59" s="4" t="s">
        <v>49</v>
      </c>
      <c r="E59" s="4" t="s">
        <v>261</v>
      </c>
      <c r="F59" s="4" t="s">
        <v>22</v>
      </c>
      <c r="G59" s="4" t="s">
        <v>23</v>
      </c>
      <c r="H59" s="4" t="str">
        <f>"43804"</f>
        <v>43804</v>
      </c>
      <c r="I59" s="4" t="s">
        <v>66</v>
      </c>
      <c r="J59" s="4" t="str">
        <f>"(P) 330-897-1459"</f>
        <v>(P) 330-897-1459</v>
      </c>
      <c r="K59" s="4"/>
      <c r="L59" s="4" t="s">
        <v>1353</v>
      </c>
      <c r="M59" s="4" t="s">
        <v>263</v>
      </c>
      <c r="N59" s="4" t="s">
        <v>22</v>
      </c>
      <c r="O59" s="4" t="s">
        <v>23</v>
      </c>
      <c r="P59" s="4" t="str">
        <f>"43804"</f>
        <v>43804</v>
      </c>
      <c r="Q59" s="4" t="s">
        <v>66</v>
      </c>
      <c r="R59" s="6">
        <v>44196</v>
      </c>
      <c r="S59" s="4" t="s">
        <v>76</v>
      </c>
    </row>
    <row r="60" spans="1:19" s="3" customFormat="1" ht="43.2" x14ac:dyDescent="0.3">
      <c r="A60" s="4" t="str">
        <f>"CB001P7U"</f>
        <v>CB001P7U</v>
      </c>
      <c r="B60" s="4" t="s">
        <v>1069</v>
      </c>
      <c r="C60" s="4" t="s">
        <v>1070</v>
      </c>
      <c r="D60" s="4" t="s">
        <v>43</v>
      </c>
      <c r="E60" s="4" t="s">
        <v>1071</v>
      </c>
      <c r="F60" s="4" t="s">
        <v>74</v>
      </c>
      <c r="G60" s="4" t="s">
        <v>23</v>
      </c>
      <c r="H60" s="4" t="str">
        <f>"44681"</f>
        <v>44681</v>
      </c>
      <c r="I60" s="4" t="s">
        <v>24</v>
      </c>
      <c r="J60" s="4" t="str">
        <f>"(P) 330-852-4954"</f>
        <v>(P) 330-852-4954</v>
      </c>
      <c r="K60" s="4"/>
      <c r="L60" s="4" t="s">
        <v>1333</v>
      </c>
      <c r="M60" s="4" t="s">
        <v>1071</v>
      </c>
      <c r="N60" s="4" t="s">
        <v>74</v>
      </c>
      <c r="O60" s="4" t="s">
        <v>23</v>
      </c>
      <c r="P60" s="4" t="str">
        <f>"44681"</f>
        <v>44681</v>
      </c>
      <c r="Q60" s="4" t="s">
        <v>24</v>
      </c>
      <c r="R60" s="6">
        <v>44196</v>
      </c>
      <c r="S60" s="4" t="s">
        <v>46</v>
      </c>
    </row>
    <row r="61" spans="1:19" s="3" customFormat="1" ht="43.2" x14ac:dyDescent="0.3">
      <c r="A61" s="4" t="str">
        <f>"CB001MQ2"</f>
        <v>CB001MQ2</v>
      </c>
      <c r="B61" s="4" t="s">
        <v>1032</v>
      </c>
      <c r="C61" s="4" t="s">
        <v>1033</v>
      </c>
      <c r="D61" s="4" t="s">
        <v>55</v>
      </c>
      <c r="E61" s="4" t="s">
        <v>1034</v>
      </c>
      <c r="F61" s="4" t="s">
        <v>40</v>
      </c>
      <c r="G61" s="4" t="s">
        <v>23</v>
      </c>
      <c r="H61" s="4" t="str">
        <f>"44654"</f>
        <v>44654</v>
      </c>
      <c r="I61" s="4" t="s">
        <v>24</v>
      </c>
      <c r="J61" s="4" t="str">
        <f>"(M) 330-231-2708"</f>
        <v>(M) 330-231-2708</v>
      </c>
      <c r="K61" s="4" t="s">
        <v>1035</v>
      </c>
      <c r="L61" s="4" t="s">
        <v>1247</v>
      </c>
      <c r="M61" s="4" t="s">
        <v>1034</v>
      </c>
      <c r="N61" s="4" t="s">
        <v>40</v>
      </c>
      <c r="O61" s="4" t="s">
        <v>23</v>
      </c>
      <c r="P61" s="4" t="str">
        <f>"44654"</f>
        <v>44654</v>
      </c>
      <c r="Q61" s="4" t="s">
        <v>24</v>
      </c>
      <c r="R61" s="6">
        <v>44196</v>
      </c>
      <c r="S61" s="4" t="s">
        <v>35</v>
      </c>
    </row>
    <row r="62" spans="1:19" s="3" customFormat="1" ht="43.2" x14ac:dyDescent="0.3">
      <c r="A62" s="4" t="str">
        <f>"CB0004XX"</f>
        <v>CB0004XX</v>
      </c>
      <c r="B62" s="4" t="s">
        <v>277</v>
      </c>
      <c r="C62" s="4" t="s">
        <v>278</v>
      </c>
      <c r="D62" s="4" t="s">
        <v>279</v>
      </c>
      <c r="E62" s="4" t="s">
        <v>280</v>
      </c>
      <c r="F62" s="4" t="s">
        <v>281</v>
      </c>
      <c r="G62" s="4" t="s">
        <v>23</v>
      </c>
      <c r="H62" s="4" t="str">
        <f>"44231"</f>
        <v>44231</v>
      </c>
      <c r="I62" s="4" t="s">
        <v>282</v>
      </c>
      <c r="J62" s="4" t="str">
        <f>"(P) 330-527-5959 (M) 330-977-7227"</f>
        <v>(P) 330-527-5959 (M) 330-977-7227</v>
      </c>
      <c r="K62" s="4" t="s">
        <v>283</v>
      </c>
      <c r="L62" s="4" t="s">
        <v>416</v>
      </c>
      <c r="M62" s="4" t="s">
        <v>280</v>
      </c>
      <c r="N62" s="4" t="s">
        <v>281</v>
      </c>
      <c r="O62" s="4" t="s">
        <v>23</v>
      </c>
      <c r="P62" s="4" t="str">
        <f>"44231"</f>
        <v>44231</v>
      </c>
      <c r="Q62" s="4" t="s">
        <v>282</v>
      </c>
      <c r="R62" s="6">
        <v>44196</v>
      </c>
      <c r="S62" s="4" t="s">
        <v>46</v>
      </c>
    </row>
    <row r="63" spans="1:19" s="3" customFormat="1" ht="57.6" x14ac:dyDescent="0.3">
      <c r="A63" s="4" t="str">
        <f>"CB0003LQ"</f>
        <v>CB0003LQ</v>
      </c>
      <c r="B63" s="4" t="s">
        <v>227</v>
      </c>
      <c r="C63" s="4" t="s">
        <v>228</v>
      </c>
      <c r="D63" s="4" t="s">
        <v>229</v>
      </c>
      <c r="E63" s="4" t="s">
        <v>230</v>
      </c>
      <c r="F63" s="4" t="s">
        <v>231</v>
      </c>
      <c r="G63" s="4" t="s">
        <v>23</v>
      </c>
      <c r="H63" s="4" t="str">
        <f>"43080"</f>
        <v>43080</v>
      </c>
      <c r="I63" s="4" t="s">
        <v>232</v>
      </c>
      <c r="J63" s="4" t="str">
        <f>"(P) 740-670-3971 (F) 740-892-3045 (M) 740-670-3971"</f>
        <v>(P) 740-670-3971 (F) 740-892-3045 (M) 740-670-3971</v>
      </c>
      <c r="K63" s="4" t="s">
        <v>233</v>
      </c>
      <c r="L63" s="4" t="s">
        <v>570</v>
      </c>
      <c r="M63" s="4" t="s">
        <v>230</v>
      </c>
      <c r="N63" s="4" t="s">
        <v>231</v>
      </c>
      <c r="O63" s="4" t="s">
        <v>23</v>
      </c>
      <c r="P63" s="4" t="str">
        <f>"43080"</f>
        <v>43080</v>
      </c>
      <c r="Q63" s="4" t="s">
        <v>232</v>
      </c>
      <c r="R63" s="6">
        <v>44196</v>
      </c>
      <c r="S63" s="4" t="s">
        <v>46</v>
      </c>
    </row>
    <row r="64" spans="1:19" s="3" customFormat="1" ht="43.2" x14ac:dyDescent="0.3">
      <c r="A64" s="4" t="str">
        <f>"CB00116H"</f>
        <v>CB00116H</v>
      </c>
      <c r="B64" s="4" t="s">
        <v>662</v>
      </c>
      <c r="C64" s="4" t="s">
        <v>663</v>
      </c>
      <c r="D64" s="4" t="s">
        <v>664</v>
      </c>
      <c r="E64" s="4" t="s">
        <v>665</v>
      </c>
      <c r="F64" s="4" t="s">
        <v>666</v>
      </c>
      <c r="G64" s="4" t="s">
        <v>23</v>
      </c>
      <c r="H64" s="4" t="str">
        <f>"43532"</f>
        <v>43532</v>
      </c>
      <c r="I64" s="4" t="s">
        <v>360</v>
      </c>
      <c r="J64" s="4" t="str">
        <f>"(P) 419-533-3499 (M) 419-966-9683"</f>
        <v>(P) 419-533-3499 (M) 419-966-9683</v>
      </c>
      <c r="K64" s="4" t="s">
        <v>667</v>
      </c>
      <c r="L64" s="4" t="s">
        <v>683</v>
      </c>
      <c r="M64" s="4" t="s">
        <v>665</v>
      </c>
      <c r="N64" s="4" t="s">
        <v>666</v>
      </c>
      <c r="O64" s="4" t="s">
        <v>23</v>
      </c>
      <c r="P64" s="4" t="str">
        <f>"43532"</f>
        <v>43532</v>
      </c>
      <c r="Q64" s="4" t="s">
        <v>360</v>
      </c>
      <c r="R64" s="6">
        <v>44196</v>
      </c>
      <c r="S64" s="4" t="s">
        <v>35</v>
      </c>
    </row>
    <row r="65" spans="1:19" s="3" customFormat="1" ht="43.2" x14ac:dyDescent="0.3">
      <c r="A65" s="4" t="str">
        <f>"CB001AT7"</f>
        <v>CB001AT7</v>
      </c>
      <c r="B65" s="4" t="s">
        <v>834</v>
      </c>
      <c r="C65" s="4" t="s">
        <v>663</v>
      </c>
      <c r="D65" s="4" t="s">
        <v>835</v>
      </c>
      <c r="E65" s="4" t="s">
        <v>836</v>
      </c>
      <c r="F65" s="4" t="s">
        <v>837</v>
      </c>
      <c r="G65" s="4" t="s">
        <v>23</v>
      </c>
      <c r="H65" s="4" t="str">
        <f>"43021"</f>
        <v>43021</v>
      </c>
      <c r="I65" s="4" t="s">
        <v>838</v>
      </c>
      <c r="J65" s="4" t="str">
        <f>"(P) 614-571-2157"</f>
        <v>(P) 614-571-2157</v>
      </c>
      <c r="K65" s="4" t="s">
        <v>839</v>
      </c>
      <c r="L65" s="4" t="s">
        <v>57</v>
      </c>
      <c r="M65" s="4" t="s">
        <v>836</v>
      </c>
      <c r="N65" s="4" t="s">
        <v>837</v>
      </c>
      <c r="O65" s="4" t="s">
        <v>23</v>
      </c>
      <c r="P65" s="4" t="str">
        <f>"43021"</f>
        <v>43021</v>
      </c>
      <c r="Q65" s="4" t="s">
        <v>838</v>
      </c>
      <c r="R65" s="6">
        <v>44196</v>
      </c>
      <c r="S65" s="4" t="s">
        <v>35</v>
      </c>
    </row>
    <row r="66" spans="1:19" s="3" customFormat="1" ht="43.2" x14ac:dyDescent="0.3">
      <c r="A66" s="4" t="str">
        <f>"CB00032R"</f>
        <v>CB00032R</v>
      </c>
      <c r="B66" s="4" t="s">
        <v>179</v>
      </c>
      <c r="C66" s="4" t="s">
        <v>196</v>
      </c>
      <c r="D66" s="4" t="s">
        <v>43</v>
      </c>
      <c r="E66" s="4" t="s">
        <v>197</v>
      </c>
      <c r="F66" s="4" t="s">
        <v>99</v>
      </c>
      <c r="G66" s="4" t="s">
        <v>23</v>
      </c>
      <c r="H66" s="4" t="str">
        <f>"43824"</f>
        <v>43824</v>
      </c>
      <c r="I66" s="4" t="s">
        <v>134</v>
      </c>
      <c r="J66" s="4" t="str">
        <f>"(M) 330-893-1973"</f>
        <v>(M) 330-893-1973</v>
      </c>
      <c r="K66" s="4"/>
      <c r="L66" s="4" t="s">
        <v>479</v>
      </c>
      <c r="M66" s="4" t="s">
        <v>197</v>
      </c>
      <c r="N66" s="4" t="s">
        <v>99</v>
      </c>
      <c r="O66" s="4" t="s">
        <v>23</v>
      </c>
      <c r="P66" s="4" t="str">
        <f>"43824"</f>
        <v>43824</v>
      </c>
      <c r="Q66" s="4" t="s">
        <v>134</v>
      </c>
      <c r="R66" s="6">
        <v>44196</v>
      </c>
      <c r="S66" s="4" t="s">
        <v>76</v>
      </c>
    </row>
    <row r="67" spans="1:19" s="3" customFormat="1" ht="43.2" x14ac:dyDescent="0.3">
      <c r="A67" s="4" t="str">
        <f>"CB0000WE"</f>
        <v>CB0000WE</v>
      </c>
      <c r="B67" s="4" t="s">
        <v>108</v>
      </c>
      <c r="C67" s="4" t="s">
        <v>109</v>
      </c>
      <c r="D67" s="4" t="s">
        <v>38</v>
      </c>
      <c r="E67" s="4" t="s">
        <v>110</v>
      </c>
      <c r="F67" s="4" t="s">
        <v>111</v>
      </c>
      <c r="G67" s="4" t="s">
        <v>23</v>
      </c>
      <c r="H67" s="4" t="str">
        <f>"44627"</f>
        <v>44627</v>
      </c>
      <c r="I67" s="4" t="s">
        <v>52</v>
      </c>
      <c r="J67" s="4" t="str">
        <f>"(P) 330-359-0454 (F) 330-695-2309"</f>
        <v>(P) 330-359-0454 (F) 330-695-2309</v>
      </c>
      <c r="K67" s="4"/>
      <c r="L67" s="4" t="s">
        <v>786</v>
      </c>
      <c r="M67" s="4" t="s">
        <v>110</v>
      </c>
      <c r="N67" s="4" t="s">
        <v>111</v>
      </c>
      <c r="O67" s="4" t="s">
        <v>23</v>
      </c>
      <c r="P67" s="4" t="str">
        <f>"44627"</f>
        <v>44627</v>
      </c>
      <c r="Q67" s="4" t="s">
        <v>52</v>
      </c>
      <c r="R67" s="6">
        <v>44196</v>
      </c>
      <c r="S67" s="4" t="s">
        <v>76</v>
      </c>
    </row>
    <row r="68" spans="1:19" s="3" customFormat="1" ht="43.2" x14ac:dyDescent="0.3">
      <c r="A68" s="4" t="str">
        <f>"CB00054D"</f>
        <v>CB00054D</v>
      </c>
      <c r="B68" s="4" t="s">
        <v>294</v>
      </c>
      <c r="C68" s="4" t="s">
        <v>109</v>
      </c>
      <c r="D68" s="4" t="s">
        <v>295</v>
      </c>
      <c r="E68" s="4" t="s">
        <v>296</v>
      </c>
      <c r="F68" s="4" t="s">
        <v>297</v>
      </c>
      <c r="G68" s="4" t="s">
        <v>23</v>
      </c>
      <c r="H68" s="4" t="str">
        <f>"43748"</f>
        <v>43748</v>
      </c>
      <c r="I68" s="4" t="s">
        <v>298</v>
      </c>
      <c r="J68" s="4" t="str">
        <f>"(M) 740-605-7259"</f>
        <v>(M) 740-605-7259</v>
      </c>
      <c r="K68" s="4" t="s">
        <v>299</v>
      </c>
      <c r="L68" s="4" t="s">
        <v>627</v>
      </c>
      <c r="M68" s="4" t="s">
        <v>296</v>
      </c>
      <c r="N68" s="4" t="s">
        <v>297</v>
      </c>
      <c r="O68" s="4" t="s">
        <v>23</v>
      </c>
      <c r="P68" s="4" t="str">
        <f>"43748"</f>
        <v>43748</v>
      </c>
      <c r="Q68" s="4" t="s">
        <v>298</v>
      </c>
      <c r="R68" s="6">
        <v>44196</v>
      </c>
      <c r="S68" s="4" t="s">
        <v>46</v>
      </c>
    </row>
    <row r="69" spans="1:19" s="3" customFormat="1" ht="43.2" x14ac:dyDescent="0.3">
      <c r="A69" s="4" t="str">
        <f>"CB001QKZ"</f>
        <v>CB001QKZ</v>
      </c>
      <c r="B69" s="4" t="s">
        <v>1120</v>
      </c>
      <c r="C69" s="4" t="s">
        <v>1121</v>
      </c>
      <c r="D69" s="4" t="s">
        <v>1122</v>
      </c>
      <c r="E69" s="4" t="s">
        <v>1123</v>
      </c>
      <c r="F69" s="4" t="s">
        <v>99</v>
      </c>
      <c r="G69" s="4" t="s">
        <v>23</v>
      </c>
      <c r="H69" s="4" t="str">
        <f>"43824"</f>
        <v>43824</v>
      </c>
      <c r="I69" s="4" t="s">
        <v>134</v>
      </c>
      <c r="J69" s="4" t="str">
        <f>"(P) 330-473-7412"</f>
        <v>(P) 330-473-7412</v>
      </c>
      <c r="K69" s="4" t="s">
        <v>1124</v>
      </c>
      <c r="L69" s="4" t="s">
        <v>1173</v>
      </c>
      <c r="M69" s="4" t="s">
        <v>1123</v>
      </c>
      <c r="N69" s="4" t="s">
        <v>99</v>
      </c>
      <c r="O69" s="4" t="s">
        <v>23</v>
      </c>
      <c r="P69" s="4" t="str">
        <f>"43824"</f>
        <v>43824</v>
      </c>
      <c r="Q69" s="4" t="s">
        <v>134</v>
      </c>
      <c r="R69" s="6">
        <v>44196</v>
      </c>
      <c r="S69" s="4" t="s">
        <v>46</v>
      </c>
    </row>
    <row r="70" spans="1:19" s="3" customFormat="1" ht="43.2" x14ac:dyDescent="0.3">
      <c r="A70" s="4" t="str">
        <f>"CB0002X6"</f>
        <v>CB0002X6</v>
      </c>
      <c r="B70" s="4" t="s">
        <v>182</v>
      </c>
      <c r="C70" s="4" t="s">
        <v>183</v>
      </c>
      <c r="D70" s="4" t="s">
        <v>59</v>
      </c>
      <c r="E70" s="4" t="s">
        <v>184</v>
      </c>
      <c r="F70" s="4" t="s">
        <v>22</v>
      </c>
      <c r="G70" s="4" t="s">
        <v>23</v>
      </c>
      <c r="H70" s="4" t="str">
        <f>"43804"</f>
        <v>43804</v>
      </c>
      <c r="I70" s="4" t="s">
        <v>24</v>
      </c>
      <c r="J70" s="4" t="str">
        <f>"(M) 330-897-0130"</f>
        <v>(M) 330-897-0130</v>
      </c>
      <c r="K70" s="4"/>
      <c r="L70" s="4" t="s">
        <v>450</v>
      </c>
      <c r="M70" s="4" t="s">
        <v>184</v>
      </c>
      <c r="N70" s="4" t="s">
        <v>22</v>
      </c>
      <c r="O70" s="4" t="s">
        <v>23</v>
      </c>
      <c r="P70" s="4" t="str">
        <f>"43804"</f>
        <v>43804</v>
      </c>
      <c r="Q70" s="4" t="s">
        <v>24</v>
      </c>
      <c r="R70" s="6">
        <v>44196</v>
      </c>
      <c r="S70" s="4" t="s">
        <v>26</v>
      </c>
    </row>
    <row r="71" spans="1:19" s="3" customFormat="1" ht="43.2" x14ac:dyDescent="0.3">
      <c r="A71" s="4" t="str">
        <f>"CB000N67"</f>
        <v>CB000N67</v>
      </c>
      <c r="B71" s="4" t="s">
        <v>481</v>
      </c>
      <c r="C71" s="4" t="s">
        <v>482</v>
      </c>
      <c r="D71" s="4" t="s">
        <v>483</v>
      </c>
      <c r="E71" s="4" t="s">
        <v>484</v>
      </c>
      <c r="F71" s="4" t="s">
        <v>485</v>
      </c>
      <c r="G71" s="4" t="s">
        <v>23</v>
      </c>
      <c r="H71" s="4" t="str">
        <f>"43130"</f>
        <v>43130</v>
      </c>
      <c r="I71" s="4" t="s">
        <v>486</v>
      </c>
      <c r="J71" s="4" t="str">
        <f>"(P) 740-974-8618"</f>
        <v>(P) 740-974-8618</v>
      </c>
      <c r="K71" s="4" t="s">
        <v>487</v>
      </c>
      <c r="L71" s="4" t="s">
        <v>1215</v>
      </c>
      <c r="M71" s="4" t="s">
        <v>484</v>
      </c>
      <c r="N71" s="4" t="s">
        <v>485</v>
      </c>
      <c r="O71" s="4" t="s">
        <v>23</v>
      </c>
      <c r="P71" s="4" t="str">
        <f>"43130"</f>
        <v>43130</v>
      </c>
      <c r="Q71" s="4" t="s">
        <v>486</v>
      </c>
      <c r="R71" s="6">
        <v>44196</v>
      </c>
      <c r="S71" s="4" t="s">
        <v>26</v>
      </c>
    </row>
    <row r="72" spans="1:19" s="3" customFormat="1" ht="43.2" x14ac:dyDescent="0.3">
      <c r="A72" s="4" t="str">
        <f>"CB0001RL"</f>
        <v>CB0001RL</v>
      </c>
      <c r="B72" s="4"/>
      <c r="C72" s="4" t="s">
        <v>127</v>
      </c>
      <c r="D72" s="4" t="s">
        <v>128</v>
      </c>
      <c r="E72" s="4" t="s">
        <v>129</v>
      </c>
      <c r="F72" s="4" t="s">
        <v>22</v>
      </c>
      <c r="G72" s="4" t="s">
        <v>23</v>
      </c>
      <c r="H72" s="4" t="str">
        <f>"43804"</f>
        <v>43804</v>
      </c>
      <c r="I72" s="4" t="s">
        <v>24</v>
      </c>
      <c r="J72" s="4" t="str">
        <f>"(M) 330-897-1492"</f>
        <v>(M) 330-897-1492</v>
      </c>
      <c r="K72" s="4"/>
      <c r="L72" s="4" t="s">
        <v>391</v>
      </c>
      <c r="M72" s="4" t="s">
        <v>129</v>
      </c>
      <c r="N72" s="4" t="s">
        <v>22</v>
      </c>
      <c r="O72" s="4" t="s">
        <v>23</v>
      </c>
      <c r="P72" s="4" t="str">
        <f>"43804"</f>
        <v>43804</v>
      </c>
      <c r="Q72" s="4" t="s">
        <v>24</v>
      </c>
      <c r="R72" s="6">
        <v>44196</v>
      </c>
      <c r="S72" s="4" t="s">
        <v>76</v>
      </c>
    </row>
    <row r="73" spans="1:19" s="3" customFormat="1" ht="43.2" x14ac:dyDescent="0.3">
      <c r="A73" s="4" t="str">
        <f>"CB0005UZ"</f>
        <v>CB0005UZ</v>
      </c>
      <c r="B73" s="4" t="s">
        <v>351</v>
      </c>
      <c r="C73" s="4" t="s">
        <v>352</v>
      </c>
      <c r="D73" s="4" t="s">
        <v>270</v>
      </c>
      <c r="E73" s="4" t="s">
        <v>353</v>
      </c>
      <c r="F73" s="4" t="s">
        <v>99</v>
      </c>
      <c r="G73" s="4" t="s">
        <v>23</v>
      </c>
      <c r="H73" s="4" t="str">
        <f>"43824"</f>
        <v>43824</v>
      </c>
      <c r="I73" s="4" t="s">
        <v>134</v>
      </c>
      <c r="J73" s="4" t="str">
        <f>"(M) 740-622-4059"</f>
        <v>(M) 740-622-4059</v>
      </c>
      <c r="K73" s="4"/>
      <c r="L73" s="4" t="s">
        <v>1297</v>
      </c>
      <c r="M73" s="4" t="s">
        <v>353</v>
      </c>
      <c r="N73" s="4" t="s">
        <v>99</v>
      </c>
      <c r="O73" s="4" t="s">
        <v>23</v>
      </c>
      <c r="P73" s="4" t="str">
        <f>"43824"</f>
        <v>43824</v>
      </c>
      <c r="Q73" s="4" t="s">
        <v>134</v>
      </c>
      <c r="R73" s="6">
        <v>44196</v>
      </c>
      <c r="S73" s="4" t="s">
        <v>26</v>
      </c>
    </row>
    <row r="74" spans="1:19" s="3" customFormat="1" ht="43.2" x14ac:dyDescent="0.3">
      <c r="A74" s="4" t="str">
        <f>"CB00060H"</f>
        <v>CB00060H</v>
      </c>
      <c r="B74" s="4"/>
      <c r="C74" s="4" t="s">
        <v>352</v>
      </c>
      <c r="D74" s="4" t="s">
        <v>363</v>
      </c>
      <c r="E74" s="4" t="s">
        <v>364</v>
      </c>
      <c r="F74" s="4" t="s">
        <v>365</v>
      </c>
      <c r="G74" s="4" t="s">
        <v>23</v>
      </c>
      <c r="H74" s="4" t="str">
        <f>"44875"</f>
        <v>44875</v>
      </c>
      <c r="I74" s="4" t="s">
        <v>88</v>
      </c>
      <c r="J74" s="4" t="str">
        <f>"(P) 419-347-1055 (F) 419-347-1055"</f>
        <v>(P) 419-347-1055 (F) 419-347-1055</v>
      </c>
      <c r="K74" s="4"/>
      <c r="L74" s="4" t="s">
        <v>1127</v>
      </c>
      <c r="M74" s="4" t="s">
        <v>364</v>
      </c>
      <c r="N74" s="4" t="s">
        <v>365</v>
      </c>
      <c r="O74" s="4" t="s">
        <v>23</v>
      </c>
      <c r="P74" s="4" t="str">
        <f>"44875"</f>
        <v>44875</v>
      </c>
      <c r="Q74" s="4" t="s">
        <v>88</v>
      </c>
      <c r="R74" s="6">
        <v>44196</v>
      </c>
      <c r="S74" s="4" t="s">
        <v>46</v>
      </c>
    </row>
    <row r="75" spans="1:19" s="3" customFormat="1" ht="72" x14ac:dyDescent="0.3">
      <c r="A75" s="4" t="str">
        <f>"CB000P0F"</f>
        <v>CB000P0F</v>
      </c>
      <c r="B75" s="4"/>
      <c r="C75" s="4" t="s">
        <v>352</v>
      </c>
      <c r="D75" s="4" t="s">
        <v>502</v>
      </c>
      <c r="E75" s="4" t="s">
        <v>503</v>
      </c>
      <c r="F75" s="4" t="s">
        <v>504</v>
      </c>
      <c r="G75" s="4" t="s">
        <v>23</v>
      </c>
      <c r="H75" s="4" t="str">
        <f>"44822"</f>
        <v>44822</v>
      </c>
      <c r="I75" s="4" t="s">
        <v>505</v>
      </c>
      <c r="J75" s="4" t="str">
        <f>"(P) 740-392-0639"</f>
        <v>(P) 740-392-0639</v>
      </c>
      <c r="K75" s="4"/>
      <c r="L75" s="4" t="s">
        <v>506</v>
      </c>
      <c r="M75" s="4" t="s">
        <v>503</v>
      </c>
      <c r="N75" s="4" t="s">
        <v>504</v>
      </c>
      <c r="O75" s="4" t="s">
        <v>23</v>
      </c>
      <c r="P75" s="4" t="str">
        <f>"44822"</f>
        <v>44822</v>
      </c>
      <c r="Q75" s="4" t="s">
        <v>505</v>
      </c>
      <c r="R75" s="6">
        <v>44196</v>
      </c>
      <c r="S75" s="4" t="s">
        <v>507</v>
      </c>
    </row>
    <row r="76" spans="1:19" s="3" customFormat="1" ht="43.2" x14ac:dyDescent="0.3">
      <c r="A76" s="4" t="str">
        <f>"CB0011MN"</f>
        <v>CB0011MN</v>
      </c>
      <c r="B76" s="4" t="s">
        <v>671</v>
      </c>
      <c r="C76" s="4" t="s">
        <v>352</v>
      </c>
      <c r="D76" s="4" t="s">
        <v>672</v>
      </c>
      <c r="E76" s="4" t="s">
        <v>673</v>
      </c>
      <c r="F76" s="4" t="s">
        <v>585</v>
      </c>
      <c r="G76" s="4" t="s">
        <v>23</v>
      </c>
      <c r="H76" s="4" t="str">
        <f>"45640"</f>
        <v>45640</v>
      </c>
      <c r="I76" s="4" t="s">
        <v>586</v>
      </c>
      <c r="J76" s="4" t="str">
        <f>"(M) 740-577-5947"</f>
        <v>(M) 740-577-5947</v>
      </c>
      <c r="K76" s="4" t="s">
        <v>674</v>
      </c>
      <c r="L76" s="4" t="s">
        <v>754</v>
      </c>
      <c r="M76" s="4" t="s">
        <v>676</v>
      </c>
      <c r="N76" s="4" t="s">
        <v>585</v>
      </c>
      <c r="O76" s="4" t="s">
        <v>23</v>
      </c>
      <c r="P76" s="4" t="str">
        <f>"45640"</f>
        <v>45640</v>
      </c>
      <c r="Q76" s="4" t="s">
        <v>586</v>
      </c>
      <c r="R76" s="6">
        <v>44196</v>
      </c>
      <c r="S76" s="4" t="s">
        <v>46</v>
      </c>
    </row>
    <row r="77" spans="1:19" s="3" customFormat="1" ht="43.2" x14ac:dyDescent="0.3">
      <c r="A77" s="4" t="str">
        <f>"CB00124H"</f>
        <v>CB00124H</v>
      </c>
      <c r="B77" s="4"/>
      <c r="C77" s="4" t="s">
        <v>352</v>
      </c>
      <c r="D77" s="4" t="s">
        <v>43</v>
      </c>
      <c r="E77" s="4" t="s">
        <v>680</v>
      </c>
      <c r="F77" s="4" t="s">
        <v>22</v>
      </c>
      <c r="G77" s="4" t="s">
        <v>23</v>
      </c>
      <c r="H77" s="4" t="str">
        <f>"43804"</f>
        <v>43804</v>
      </c>
      <c r="I77" s="4" t="s">
        <v>134</v>
      </c>
      <c r="J77" s="4" t="str">
        <f>"(P) 330-231-1857"</f>
        <v>(P) 330-231-1857</v>
      </c>
      <c r="K77" s="4"/>
      <c r="L77" s="4" t="s">
        <v>1258</v>
      </c>
      <c r="M77" s="4" t="s">
        <v>680</v>
      </c>
      <c r="N77" s="4" t="s">
        <v>22</v>
      </c>
      <c r="O77" s="4" t="s">
        <v>23</v>
      </c>
      <c r="P77" s="4" t="str">
        <f>"43804"</f>
        <v>43804</v>
      </c>
      <c r="Q77" s="4" t="s">
        <v>134</v>
      </c>
      <c r="R77" s="6">
        <v>44196</v>
      </c>
      <c r="S77" s="4" t="s">
        <v>76</v>
      </c>
    </row>
    <row r="78" spans="1:19" s="3" customFormat="1" ht="57.6" x14ac:dyDescent="0.3">
      <c r="A78" s="4" t="str">
        <f>"CB00194Q"</f>
        <v>CB00194Q</v>
      </c>
      <c r="B78" s="4" t="s">
        <v>803</v>
      </c>
      <c r="C78" s="4" t="s">
        <v>352</v>
      </c>
      <c r="D78" s="4" t="s">
        <v>20</v>
      </c>
      <c r="E78" s="4" t="s">
        <v>804</v>
      </c>
      <c r="F78" s="4" t="s">
        <v>40</v>
      </c>
      <c r="G78" s="4" t="s">
        <v>23</v>
      </c>
      <c r="H78" s="4" t="str">
        <f>"44654"</f>
        <v>44654</v>
      </c>
      <c r="I78" s="4" t="s">
        <v>24</v>
      </c>
      <c r="J78" s="4" t="str">
        <f>"(P) 330-674-2969 (F) 330-674-3969 (M) 330-231-1334"</f>
        <v>(P) 330-674-2969 (F) 330-674-3969 (M) 330-231-1334</v>
      </c>
      <c r="K78" s="4"/>
      <c r="L78" s="4" t="s">
        <v>1144</v>
      </c>
      <c r="M78" s="4" t="s">
        <v>806</v>
      </c>
      <c r="N78" s="4" t="s">
        <v>40</v>
      </c>
      <c r="O78" s="4" t="s">
        <v>23</v>
      </c>
      <c r="P78" s="4" t="str">
        <f>"44654"</f>
        <v>44654</v>
      </c>
      <c r="Q78" s="4" t="s">
        <v>24</v>
      </c>
      <c r="R78" s="6">
        <v>44196</v>
      </c>
      <c r="S78" s="4" t="s">
        <v>46</v>
      </c>
    </row>
    <row r="79" spans="1:19" s="3" customFormat="1" ht="43.2" x14ac:dyDescent="0.3">
      <c r="A79" s="4" t="str">
        <f>"CB001MKC"</f>
        <v>CB001MKC</v>
      </c>
      <c r="B79" s="4"/>
      <c r="C79" s="4" t="s">
        <v>352</v>
      </c>
      <c r="D79" s="4" t="s">
        <v>43</v>
      </c>
      <c r="E79" s="4" t="s">
        <v>1027</v>
      </c>
      <c r="F79" s="4" t="s">
        <v>40</v>
      </c>
      <c r="G79" s="4" t="s">
        <v>23</v>
      </c>
      <c r="H79" s="4" t="str">
        <f>"44654"</f>
        <v>44654</v>
      </c>
      <c r="I79" s="4" t="s">
        <v>24</v>
      </c>
      <c r="J79" s="4" t="str">
        <f>"(P) 330-600-0824"</f>
        <v>(P) 330-600-0824</v>
      </c>
      <c r="K79" s="4"/>
      <c r="L79" s="4" t="s">
        <v>1209</v>
      </c>
      <c r="M79" s="4" t="s">
        <v>1027</v>
      </c>
      <c r="N79" s="4" t="s">
        <v>40</v>
      </c>
      <c r="O79" s="4" t="s">
        <v>23</v>
      </c>
      <c r="P79" s="4" t="str">
        <f>"44654"</f>
        <v>44654</v>
      </c>
      <c r="Q79" s="4" t="s">
        <v>24</v>
      </c>
      <c r="R79" s="6">
        <v>44196</v>
      </c>
      <c r="S79" s="4" t="s">
        <v>46</v>
      </c>
    </row>
    <row r="80" spans="1:19" s="3" customFormat="1" ht="43.2" x14ac:dyDescent="0.3">
      <c r="A80" s="4" t="str">
        <f>"CB001NYF"</f>
        <v>CB001NYF</v>
      </c>
      <c r="B80" s="4"/>
      <c r="C80" s="4" t="s">
        <v>352</v>
      </c>
      <c r="D80" s="4" t="s">
        <v>20</v>
      </c>
      <c r="E80" s="4" t="s">
        <v>1056</v>
      </c>
      <c r="F80" s="4" t="s">
        <v>40</v>
      </c>
      <c r="G80" s="4" t="s">
        <v>23</v>
      </c>
      <c r="H80" s="4" t="str">
        <f>"44654"</f>
        <v>44654</v>
      </c>
      <c r="I80" s="4" t="s">
        <v>24</v>
      </c>
      <c r="J80" s="4" t="str">
        <f>"(P) 330-231-4419 (F) 740-623-0390"</f>
        <v>(P) 330-231-4419 (F) 740-623-0390</v>
      </c>
      <c r="K80" s="4"/>
      <c r="L80" s="4" t="s">
        <v>830</v>
      </c>
      <c r="M80" s="4" t="s">
        <v>1056</v>
      </c>
      <c r="N80" s="4" t="s">
        <v>40</v>
      </c>
      <c r="O80" s="4" t="s">
        <v>23</v>
      </c>
      <c r="P80" s="4" t="str">
        <f>"44654"</f>
        <v>44654</v>
      </c>
      <c r="Q80" s="4" t="s">
        <v>24</v>
      </c>
      <c r="R80" s="6">
        <v>44196</v>
      </c>
      <c r="S80" s="4" t="s">
        <v>35</v>
      </c>
    </row>
    <row r="81" spans="1:19" s="3" customFormat="1" ht="43.2" x14ac:dyDescent="0.3">
      <c r="A81" s="4" t="str">
        <f>"CB001PXD"</f>
        <v>CB001PXD</v>
      </c>
      <c r="B81" s="4"/>
      <c r="C81" s="4" t="s">
        <v>352</v>
      </c>
      <c r="D81" s="4" t="s">
        <v>49</v>
      </c>
      <c r="E81" s="4" t="s">
        <v>1095</v>
      </c>
      <c r="F81" s="4" t="s">
        <v>22</v>
      </c>
      <c r="G81" s="4" t="s">
        <v>23</v>
      </c>
      <c r="H81" s="4" t="str">
        <f>"43804"</f>
        <v>43804</v>
      </c>
      <c r="I81" s="4" t="s">
        <v>24</v>
      </c>
      <c r="J81" s="4" t="str">
        <f>"(P) 330-897-0368 (M) 330-231-5764"</f>
        <v>(P) 330-897-0368 (M) 330-231-5764</v>
      </c>
      <c r="K81" s="4" t="s">
        <v>1096</v>
      </c>
      <c r="L81" s="4" t="s">
        <v>661</v>
      </c>
      <c r="M81" s="4" t="s">
        <v>1095</v>
      </c>
      <c r="N81" s="4" t="s">
        <v>22</v>
      </c>
      <c r="O81" s="4" t="s">
        <v>23</v>
      </c>
      <c r="P81" s="4" t="str">
        <f>"43804"</f>
        <v>43804</v>
      </c>
      <c r="Q81" s="4" t="s">
        <v>24</v>
      </c>
      <c r="R81" s="6">
        <v>44196</v>
      </c>
      <c r="S81" s="4" t="s">
        <v>35</v>
      </c>
    </row>
    <row r="82" spans="1:19" s="3" customFormat="1" ht="43.2" x14ac:dyDescent="0.3">
      <c r="A82" s="4" t="str">
        <f>"CB001ST9"</f>
        <v>CB001ST9</v>
      </c>
      <c r="B82" s="4" t="s">
        <v>1156</v>
      </c>
      <c r="C82" s="4" t="s">
        <v>352</v>
      </c>
      <c r="D82" s="4" t="s">
        <v>20</v>
      </c>
      <c r="E82" s="4" t="s">
        <v>1157</v>
      </c>
      <c r="F82" s="4" t="s">
        <v>22</v>
      </c>
      <c r="G82" s="4" t="s">
        <v>23</v>
      </c>
      <c r="H82" s="4" t="str">
        <f>"43804"</f>
        <v>43804</v>
      </c>
      <c r="I82" s="4" t="s">
        <v>24</v>
      </c>
      <c r="J82" s="4" t="str">
        <f>"(M) 330-897-1307"</f>
        <v>(M) 330-897-1307</v>
      </c>
      <c r="K82" s="4"/>
      <c r="L82" s="4" t="s">
        <v>515</v>
      </c>
      <c r="M82" s="4" t="s">
        <v>1157</v>
      </c>
      <c r="N82" s="4" t="s">
        <v>22</v>
      </c>
      <c r="O82" s="4" t="s">
        <v>23</v>
      </c>
      <c r="P82" s="4" t="str">
        <f>"43804"</f>
        <v>43804</v>
      </c>
      <c r="Q82" s="4" t="s">
        <v>24</v>
      </c>
      <c r="R82" s="6">
        <v>44196</v>
      </c>
      <c r="S82" s="4" t="s">
        <v>35</v>
      </c>
    </row>
    <row r="83" spans="1:19" s="3" customFormat="1" ht="43.2" x14ac:dyDescent="0.3">
      <c r="A83" s="4" t="str">
        <f>"CB001UWW"</f>
        <v>CB001UWW</v>
      </c>
      <c r="B83" s="4"/>
      <c r="C83" s="4" t="s">
        <v>352</v>
      </c>
      <c r="D83" s="4" t="s">
        <v>270</v>
      </c>
      <c r="E83" s="4" t="s">
        <v>1192</v>
      </c>
      <c r="F83" s="4" t="s">
        <v>40</v>
      </c>
      <c r="G83" s="4" t="s">
        <v>23</v>
      </c>
      <c r="H83" s="4" t="str">
        <f>"44654"</f>
        <v>44654</v>
      </c>
      <c r="I83" s="4" t="s">
        <v>24</v>
      </c>
      <c r="J83" s="4" t="str">
        <f>"(M) 330-674-2267"</f>
        <v>(M) 330-674-2267</v>
      </c>
      <c r="K83" s="4"/>
      <c r="L83" s="4" t="s">
        <v>253</v>
      </c>
      <c r="M83" s="4" t="s">
        <v>1194</v>
      </c>
      <c r="N83" s="4" t="s">
        <v>622</v>
      </c>
      <c r="O83" s="4" t="s">
        <v>23</v>
      </c>
      <c r="P83" s="4" t="str">
        <f>"44654-9604"</f>
        <v>44654-9604</v>
      </c>
      <c r="Q83" s="4" t="s">
        <v>24</v>
      </c>
      <c r="R83" s="6">
        <v>44196</v>
      </c>
      <c r="S83" s="4" t="s">
        <v>46</v>
      </c>
    </row>
    <row r="84" spans="1:19" s="3" customFormat="1" ht="43.2" x14ac:dyDescent="0.3">
      <c r="A84" s="4" t="str">
        <f>"CB0022AY"</f>
        <v>CB0022AY</v>
      </c>
      <c r="B84" s="4" t="s">
        <v>1239</v>
      </c>
      <c r="C84" s="4" t="s">
        <v>352</v>
      </c>
      <c r="D84" s="4" t="s">
        <v>1240</v>
      </c>
      <c r="E84" s="4" t="s">
        <v>1241</v>
      </c>
      <c r="F84" s="4" t="s">
        <v>1242</v>
      </c>
      <c r="G84" s="4" t="s">
        <v>23</v>
      </c>
      <c r="H84" s="4" t="str">
        <f>"45613"</f>
        <v>45613</v>
      </c>
      <c r="I84" s="4" t="s">
        <v>1243</v>
      </c>
      <c r="J84" s="4" t="str">
        <f>""</f>
        <v/>
      </c>
      <c r="K84" s="4"/>
      <c r="L84" s="4" t="s">
        <v>885</v>
      </c>
      <c r="M84" s="4" t="s">
        <v>1241</v>
      </c>
      <c r="N84" s="4" t="s">
        <v>1242</v>
      </c>
      <c r="O84" s="4" t="s">
        <v>23</v>
      </c>
      <c r="P84" s="4" t="str">
        <f>"45613"</f>
        <v>45613</v>
      </c>
      <c r="Q84" s="4" t="s">
        <v>1243</v>
      </c>
      <c r="R84" s="6">
        <v>44196</v>
      </c>
      <c r="S84" s="4" t="s">
        <v>35</v>
      </c>
    </row>
    <row r="85" spans="1:19" s="3" customFormat="1" ht="43.2" x14ac:dyDescent="0.3">
      <c r="A85" s="4" t="str">
        <f>"CB0028W1"</f>
        <v>CB0028W1</v>
      </c>
      <c r="B85" s="4"/>
      <c r="C85" s="4" t="s">
        <v>352</v>
      </c>
      <c r="D85" s="4" t="s">
        <v>20</v>
      </c>
      <c r="E85" s="4" t="s">
        <v>1304</v>
      </c>
      <c r="F85" s="4" t="s">
        <v>99</v>
      </c>
      <c r="G85" s="4" t="s">
        <v>23</v>
      </c>
      <c r="H85" s="4" t="str">
        <f>"43824"</f>
        <v>43824</v>
      </c>
      <c r="I85" s="4" t="s">
        <v>134</v>
      </c>
      <c r="J85" s="4" t="str">
        <f>"(P) 740-545-7059 (M) 330-432-3565"</f>
        <v>(P) 740-545-7059 (M) 330-432-3565</v>
      </c>
      <c r="K85" s="4"/>
      <c r="L85" s="4" t="s">
        <v>320</v>
      </c>
      <c r="M85" s="4" t="s">
        <v>1306</v>
      </c>
      <c r="N85" s="4" t="s">
        <v>99</v>
      </c>
      <c r="O85" s="4" t="s">
        <v>23</v>
      </c>
      <c r="P85" s="4" t="str">
        <f>"43824"</f>
        <v>43824</v>
      </c>
      <c r="Q85" s="4" t="s">
        <v>134</v>
      </c>
      <c r="R85" s="6">
        <v>44196</v>
      </c>
      <c r="S85" s="4" t="s">
        <v>76</v>
      </c>
    </row>
    <row r="86" spans="1:19" s="3" customFormat="1" ht="43.2" x14ac:dyDescent="0.3">
      <c r="A86" s="4" t="str">
        <f>"CB0029DX"</f>
        <v>CB0029DX</v>
      </c>
      <c r="B86" s="4" t="s">
        <v>1319</v>
      </c>
      <c r="C86" s="4" t="s">
        <v>352</v>
      </c>
      <c r="D86" s="4" t="s">
        <v>798</v>
      </c>
      <c r="E86" s="4" t="s">
        <v>1320</v>
      </c>
      <c r="F86" s="4" t="s">
        <v>40</v>
      </c>
      <c r="G86" s="4" t="s">
        <v>23</v>
      </c>
      <c r="H86" s="4" t="str">
        <f>"44654"</f>
        <v>44654</v>
      </c>
      <c r="I86" s="4" t="s">
        <v>24</v>
      </c>
      <c r="J86" s="4" t="str">
        <f>"(P) 330-674-2737"</f>
        <v>(P) 330-674-2737</v>
      </c>
      <c r="K86" s="4"/>
      <c r="L86" s="4" t="s">
        <v>1068</v>
      </c>
      <c r="M86" s="4" t="s">
        <v>1320</v>
      </c>
      <c r="N86" s="4" t="s">
        <v>40</v>
      </c>
      <c r="O86" s="4" t="s">
        <v>23</v>
      </c>
      <c r="P86" s="4" t="str">
        <f>"44654"</f>
        <v>44654</v>
      </c>
      <c r="Q86" s="4" t="s">
        <v>24</v>
      </c>
      <c r="R86" s="6">
        <v>44196</v>
      </c>
      <c r="S86" s="4" t="s">
        <v>76</v>
      </c>
    </row>
    <row r="87" spans="1:19" s="3" customFormat="1" ht="43.2" x14ac:dyDescent="0.3">
      <c r="A87" s="4" t="str">
        <f>"CB001NTR"</f>
        <v>CB001NTR</v>
      </c>
      <c r="B87" s="4" t="s">
        <v>1045</v>
      </c>
      <c r="C87" s="4" t="s">
        <v>1046</v>
      </c>
      <c r="D87" s="4" t="s">
        <v>43</v>
      </c>
      <c r="E87" s="4" t="s">
        <v>1047</v>
      </c>
      <c r="F87" s="4" t="s">
        <v>74</v>
      </c>
      <c r="G87" s="4" t="s">
        <v>23</v>
      </c>
      <c r="H87" s="4" t="str">
        <f>"44681"</f>
        <v>44681</v>
      </c>
      <c r="I87" s="4" t="s">
        <v>66</v>
      </c>
      <c r="J87" s="4" t="str">
        <f>"(P) 330-987-7246 (M) 330-987-7241"</f>
        <v>(P) 330-987-7246 (M) 330-987-7241</v>
      </c>
      <c r="K87" s="4"/>
      <c r="L87" s="4" t="s">
        <v>1039</v>
      </c>
      <c r="M87" s="4" t="s">
        <v>1047</v>
      </c>
      <c r="N87" s="4" t="s">
        <v>74</v>
      </c>
      <c r="O87" s="4" t="s">
        <v>23</v>
      </c>
      <c r="P87" s="4" t="str">
        <f>"44681"</f>
        <v>44681</v>
      </c>
      <c r="Q87" s="4" t="s">
        <v>66</v>
      </c>
      <c r="R87" s="6">
        <v>44196</v>
      </c>
      <c r="S87" s="4" t="s">
        <v>46</v>
      </c>
    </row>
    <row r="88" spans="1:19" s="3" customFormat="1" ht="43.2" x14ac:dyDescent="0.3">
      <c r="A88" s="4" t="str">
        <f>"CB00005V"</f>
        <v>CB00005V</v>
      </c>
      <c r="B88" s="4"/>
      <c r="C88" s="4" t="s">
        <v>19</v>
      </c>
      <c r="D88" s="4" t="s">
        <v>20</v>
      </c>
      <c r="E88" s="4" t="s">
        <v>21</v>
      </c>
      <c r="F88" s="4" t="s">
        <v>22</v>
      </c>
      <c r="G88" s="4" t="s">
        <v>23</v>
      </c>
      <c r="H88" s="4" t="str">
        <f>"43804"</f>
        <v>43804</v>
      </c>
      <c r="I88" s="4" t="s">
        <v>24</v>
      </c>
      <c r="J88" s="4" t="str">
        <f>"(P) 330-600-0781"</f>
        <v>(P) 330-600-0781</v>
      </c>
      <c r="K88" s="4"/>
      <c r="L88" s="4" t="s">
        <v>925</v>
      </c>
      <c r="M88" s="4" t="s">
        <v>21</v>
      </c>
      <c r="N88" s="4" t="s">
        <v>22</v>
      </c>
      <c r="O88" s="4" t="s">
        <v>23</v>
      </c>
      <c r="P88" s="4" t="str">
        <f>"43804"</f>
        <v>43804</v>
      </c>
      <c r="Q88" s="4" t="s">
        <v>24</v>
      </c>
      <c r="R88" s="6">
        <v>44196</v>
      </c>
      <c r="S88" s="4" t="s">
        <v>26</v>
      </c>
    </row>
    <row r="89" spans="1:19" s="3" customFormat="1" ht="43.2" x14ac:dyDescent="0.3">
      <c r="A89" s="4" t="str">
        <f>"CB0001TG"</f>
        <v>CB0001TG</v>
      </c>
      <c r="B89" s="4"/>
      <c r="C89" s="4" t="s">
        <v>19</v>
      </c>
      <c r="D89" s="4" t="s">
        <v>20</v>
      </c>
      <c r="E89" s="4" t="s">
        <v>136</v>
      </c>
      <c r="F89" s="4" t="s">
        <v>40</v>
      </c>
      <c r="G89" s="4" t="s">
        <v>23</v>
      </c>
      <c r="H89" s="4" t="str">
        <f>"44654"</f>
        <v>44654</v>
      </c>
      <c r="I89" s="4" t="s">
        <v>24</v>
      </c>
      <c r="J89" s="4" t="str">
        <f>"(P) 330-893-2780 (F) 330-893-2772"</f>
        <v>(P) 330-893-2780 (F) 330-893-2772</v>
      </c>
      <c r="K89" s="4"/>
      <c r="L89" s="4" t="s">
        <v>999</v>
      </c>
      <c r="M89" s="4" t="s">
        <v>136</v>
      </c>
      <c r="N89" s="4" t="s">
        <v>40</v>
      </c>
      <c r="O89" s="4" t="s">
        <v>23</v>
      </c>
      <c r="P89" s="4" t="str">
        <f>"44654"</f>
        <v>44654</v>
      </c>
      <c r="Q89" s="4" t="s">
        <v>24</v>
      </c>
      <c r="R89" s="6">
        <v>44196</v>
      </c>
      <c r="S89" s="4" t="s">
        <v>46</v>
      </c>
    </row>
    <row r="90" spans="1:19" s="3" customFormat="1" ht="43.2" x14ac:dyDescent="0.3">
      <c r="A90" s="4" t="str">
        <f>"CB0002VA"</f>
        <v>CB0002VA</v>
      </c>
      <c r="B90" s="4" t="s">
        <v>179</v>
      </c>
      <c r="C90" s="4" t="s">
        <v>19</v>
      </c>
      <c r="D90" s="4" t="s">
        <v>43</v>
      </c>
      <c r="E90" s="4" t="s">
        <v>180</v>
      </c>
      <c r="F90" s="4" t="s">
        <v>99</v>
      </c>
      <c r="G90" s="4" t="s">
        <v>23</v>
      </c>
      <c r="H90" s="4" t="str">
        <f>"43824"</f>
        <v>43824</v>
      </c>
      <c r="I90" s="4" t="s">
        <v>134</v>
      </c>
      <c r="J90" s="4" t="str">
        <f>"(P) 330-897-0556"</f>
        <v>(P) 330-897-0556</v>
      </c>
      <c r="K90" s="4"/>
      <c r="L90" s="4" t="s">
        <v>1327</v>
      </c>
      <c r="M90" s="4" t="s">
        <v>180</v>
      </c>
      <c r="N90" s="4" t="s">
        <v>99</v>
      </c>
      <c r="O90" s="4" t="s">
        <v>23</v>
      </c>
      <c r="P90" s="4" t="str">
        <f>"43824"</f>
        <v>43824</v>
      </c>
      <c r="Q90" s="4" t="s">
        <v>134</v>
      </c>
      <c r="R90" s="6">
        <v>44196</v>
      </c>
      <c r="S90" s="4" t="s">
        <v>46</v>
      </c>
    </row>
    <row r="91" spans="1:19" s="3" customFormat="1" ht="43.2" x14ac:dyDescent="0.3">
      <c r="A91" s="4" t="str">
        <f>"CB0004QC"</f>
        <v>CB0004QC</v>
      </c>
      <c r="B91" s="4"/>
      <c r="C91" s="4" t="s">
        <v>19</v>
      </c>
      <c r="D91" s="4" t="s">
        <v>20</v>
      </c>
      <c r="E91" s="4" t="s">
        <v>267</v>
      </c>
      <c r="F91" s="4" t="s">
        <v>40</v>
      </c>
      <c r="G91" s="4" t="s">
        <v>23</v>
      </c>
      <c r="H91" s="4" t="str">
        <f>"44654"</f>
        <v>44654</v>
      </c>
      <c r="I91" s="4" t="s">
        <v>24</v>
      </c>
      <c r="J91" s="4" t="str">
        <f>"(P) 330-674-2754 (F) 330-674-0648"</f>
        <v>(P) 330-674-2754 (F) 330-674-0648</v>
      </c>
      <c r="K91" s="4"/>
      <c r="L91" s="4" t="s">
        <v>328</v>
      </c>
      <c r="M91" s="4" t="s">
        <v>267</v>
      </c>
      <c r="N91" s="4" t="s">
        <v>40</v>
      </c>
      <c r="O91" s="4" t="s">
        <v>23</v>
      </c>
      <c r="P91" s="4" t="str">
        <f>"44654"</f>
        <v>44654</v>
      </c>
      <c r="Q91" s="4" t="s">
        <v>24</v>
      </c>
      <c r="R91" s="6">
        <v>44196</v>
      </c>
      <c r="S91" s="4" t="s">
        <v>76</v>
      </c>
    </row>
    <row r="92" spans="1:19" s="3" customFormat="1" ht="43.2" x14ac:dyDescent="0.3">
      <c r="A92" s="4" t="str">
        <f>"CB00052H"</f>
        <v>CB00052H</v>
      </c>
      <c r="B92" s="4"/>
      <c r="C92" s="4" t="s">
        <v>19</v>
      </c>
      <c r="D92" s="4" t="s">
        <v>289</v>
      </c>
      <c r="E92" s="4" t="s">
        <v>290</v>
      </c>
      <c r="F92" s="4" t="s">
        <v>291</v>
      </c>
      <c r="G92" s="4" t="s">
        <v>23</v>
      </c>
      <c r="H92" s="4" t="str">
        <f>"44240"</f>
        <v>44240</v>
      </c>
      <c r="I92" s="4" t="s">
        <v>282</v>
      </c>
      <c r="J92" s="4" t="str">
        <f>"(P) 330-677-1355 (M) 330-475-3098"</f>
        <v>(P) 330-677-1355 (M) 330-475-3098</v>
      </c>
      <c r="K92" s="4" t="s">
        <v>292</v>
      </c>
      <c r="L92" s="4" t="s">
        <v>1138</v>
      </c>
      <c r="M92" s="4" t="s">
        <v>290</v>
      </c>
      <c r="N92" s="4" t="s">
        <v>291</v>
      </c>
      <c r="O92" s="4" t="s">
        <v>23</v>
      </c>
      <c r="P92" s="4" t="str">
        <f>"44240"</f>
        <v>44240</v>
      </c>
      <c r="Q92" s="4" t="s">
        <v>282</v>
      </c>
      <c r="R92" s="6">
        <v>44196</v>
      </c>
      <c r="S92" s="4" t="s">
        <v>46</v>
      </c>
    </row>
    <row r="93" spans="1:19" s="3" customFormat="1" ht="43.2" x14ac:dyDescent="0.3">
      <c r="A93" s="4" t="str">
        <f>"CB0006N8"</f>
        <v>CB0006N8</v>
      </c>
      <c r="B93" s="4"/>
      <c r="C93" s="4" t="s">
        <v>19</v>
      </c>
      <c r="D93" s="4" t="s">
        <v>20</v>
      </c>
      <c r="E93" s="4" t="s">
        <v>374</v>
      </c>
      <c r="F93" s="4" t="s">
        <v>375</v>
      </c>
      <c r="G93" s="4" t="s">
        <v>23</v>
      </c>
      <c r="H93" s="4" t="str">
        <f>"43840"</f>
        <v>43840</v>
      </c>
      <c r="I93" s="4" t="s">
        <v>66</v>
      </c>
      <c r="J93" s="4" t="str">
        <f>"(P) 330-897-2870 (M) 330-231-5766"</f>
        <v>(P) 330-897-2870 (M) 330-231-5766</v>
      </c>
      <c r="K93" s="4"/>
      <c r="L93" s="4" t="s">
        <v>953</v>
      </c>
      <c r="M93" s="4" t="s">
        <v>374</v>
      </c>
      <c r="N93" s="4" t="s">
        <v>375</v>
      </c>
      <c r="O93" s="4" t="s">
        <v>23</v>
      </c>
      <c r="P93" s="4" t="str">
        <f>"43840"</f>
        <v>43840</v>
      </c>
      <c r="Q93" s="4" t="s">
        <v>66</v>
      </c>
      <c r="R93" s="6">
        <v>44196</v>
      </c>
      <c r="S93" s="4" t="s">
        <v>72</v>
      </c>
    </row>
    <row r="94" spans="1:19" s="3" customFormat="1" ht="43.2" x14ac:dyDescent="0.3">
      <c r="A94" s="4" t="str">
        <f>"CB000D1N"</f>
        <v>CB000D1N</v>
      </c>
      <c r="B94" s="4"/>
      <c r="C94" s="4" t="s">
        <v>19</v>
      </c>
      <c r="D94" s="4" t="s">
        <v>466</v>
      </c>
      <c r="E94" s="4" t="s">
        <v>467</v>
      </c>
      <c r="F94" s="4" t="s">
        <v>40</v>
      </c>
      <c r="G94" s="4" t="s">
        <v>23</v>
      </c>
      <c r="H94" s="4" t="str">
        <f>"44654"</f>
        <v>44654</v>
      </c>
      <c r="I94" s="4" t="s">
        <v>24</v>
      </c>
      <c r="J94" s="4" t="str">
        <f>"(M) 330-600-9624"</f>
        <v>(M) 330-600-9624</v>
      </c>
      <c r="K94" s="4"/>
      <c r="L94" s="4" t="s">
        <v>576</v>
      </c>
      <c r="M94" s="4" t="s">
        <v>467</v>
      </c>
      <c r="N94" s="4" t="s">
        <v>40</v>
      </c>
      <c r="O94" s="4" t="s">
        <v>23</v>
      </c>
      <c r="P94" s="4" t="str">
        <f>"44654"</f>
        <v>44654</v>
      </c>
      <c r="Q94" s="4" t="s">
        <v>24</v>
      </c>
      <c r="R94" s="6">
        <v>44196</v>
      </c>
      <c r="S94" s="4" t="s">
        <v>35</v>
      </c>
    </row>
    <row r="95" spans="1:19" s="3" customFormat="1" ht="43.2" x14ac:dyDescent="0.3">
      <c r="A95" s="4" t="str">
        <f>"CB000WGP"</f>
        <v>CB000WGP</v>
      </c>
      <c r="B95" s="4"/>
      <c r="C95" s="4" t="s">
        <v>619</v>
      </c>
      <c r="D95" s="4" t="s">
        <v>620</v>
      </c>
      <c r="E95" s="4" t="s">
        <v>621</v>
      </c>
      <c r="F95" s="4" t="s">
        <v>622</v>
      </c>
      <c r="G95" s="4" t="s">
        <v>23</v>
      </c>
      <c r="H95" s="4" t="str">
        <f>"44654"</f>
        <v>44654</v>
      </c>
      <c r="I95" s="4" t="s">
        <v>24</v>
      </c>
      <c r="J95" s="4" t="str">
        <f>"(P) 330-600-1266 (P) 330-231-5183"</f>
        <v>(P) 330-600-1266 (P) 330-231-5183</v>
      </c>
      <c r="K95" s="4"/>
      <c r="L95" s="4" t="s">
        <v>241</v>
      </c>
      <c r="M95" s="4" t="s">
        <v>624</v>
      </c>
      <c r="N95" s="4" t="s">
        <v>40</v>
      </c>
      <c r="O95" s="4" t="s">
        <v>23</v>
      </c>
      <c r="P95" s="4" t="str">
        <f>"44654"</f>
        <v>44654</v>
      </c>
      <c r="Q95" s="4" t="s">
        <v>24</v>
      </c>
      <c r="R95" s="6">
        <v>44196</v>
      </c>
      <c r="S95" s="4" t="s">
        <v>76</v>
      </c>
    </row>
    <row r="96" spans="1:19" s="3" customFormat="1" ht="43.2" x14ac:dyDescent="0.3">
      <c r="A96" s="4" t="str">
        <f>"CB0010PN"</f>
        <v>CB0010PN</v>
      </c>
      <c r="B96" s="4"/>
      <c r="C96" s="4" t="s">
        <v>19</v>
      </c>
      <c r="D96" s="4" t="s">
        <v>43</v>
      </c>
      <c r="E96" s="4" t="s">
        <v>659</v>
      </c>
      <c r="F96" s="4" t="s">
        <v>65</v>
      </c>
      <c r="G96" s="4" t="s">
        <v>23</v>
      </c>
      <c r="H96" s="4" t="str">
        <f>"44624"</f>
        <v>44624</v>
      </c>
      <c r="I96" s="4" t="s">
        <v>24</v>
      </c>
      <c r="J96" s="4" t="str">
        <f>"(P) 330-893-3284"</f>
        <v>(P) 330-893-3284</v>
      </c>
      <c r="K96" s="4"/>
      <c r="L96" s="4" t="s">
        <v>1415</v>
      </c>
      <c r="M96" s="4" t="s">
        <v>659</v>
      </c>
      <c r="N96" s="4" t="s">
        <v>65</v>
      </c>
      <c r="O96" s="4" t="s">
        <v>23</v>
      </c>
      <c r="P96" s="4" t="str">
        <f>"44624"</f>
        <v>44624</v>
      </c>
      <c r="Q96" s="4" t="s">
        <v>24</v>
      </c>
      <c r="R96" s="6">
        <v>44196</v>
      </c>
      <c r="S96" s="4" t="s">
        <v>72</v>
      </c>
    </row>
    <row r="97" spans="1:19" s="3" customFormat="1" ht="43.2" x14ac:dyDescent="0.3">
      <c r="A97" s="4" t="str">
        <f>"CB0018SH"</f>
        <v>CB0018SH</v>
      </c>
      <c r="B97" s="4"/>
      <c r="C97" s="4" t="s">
        <v>19</v>
      </c>
      <c r="D97" s="4" t="s">
        <v>798</v>
      </c>
      <c r="E97" s="4" t="s">
        <v>799</v>
      </c>
      <c r="F97" s="4" t="s">
        <v>22</v>
      </c>
      <c r="G97" s="4" t="s">
        <v>23</v>
      </c>
      <c r="H97" s="4" t="str">
        <f>"43804"</f>
        <v>43804</v>
      </c>
      <c r="I97" s="4" t="s">
        <v>66</v>
      </c>
      <c r="J97" s="4" t="str">
        <f>"(P) 330-897-0554 (F) 330-897-0858"</f>
        <v>(P) 330-897-0554 (F) 330-897-0858</v>
      </c>
      <c r="K97" s="4"/>
      <c r="L97" s="4" t="s">
        <v>89</v>
      </c>
      <c r="M97" s="4" t="s">
        <v>799</v>
      </c>
      <c r="N97" s="4" t="s">
        <v>22</v>
      </c>
      <c r="O97" s="4" t="s">
        <v>23</v>
      </c>
      <c r="P97" s="4" t="str">
        <f>"43804"</f>
        <v>43804</v>
      </c>
      <c r="Q97" s="4" t="s">
        <v>66</v>
      </c>
      <c r="R97" s="6">
        <v>44196</v>
      </c>
      <c r="S97" s="4" t="s">
        <v>46</v>
      </c>
    </row>
    <row r="98" spans="1:19" s="3" customFormat="1" ht="43.2" x14ac:dyDescent="0.3">
      <c r="A98" s="4" t="str">
        <f>"CB0019JV"</f>
        <v>CB0019JV</v>
      </c>
      <c r="B98" s="4"/>
      <c r="C98" s="4" t="s">
        <v>19</v>
      </c>
      <c r="D98" s="4" t="s">
        <v>798</v>
      </c>
      <c r="E98" s="4" t="s">
        <v>815</v>
      </c>
      <c r="F98" s="4" t="s">
        <v>744</v>
      </c>
      <c r="G98" s="4" t="s">
        <v>23</v>
      </c>
      <c r="H98" s="4" t="str">
        <f>"43338"</f>
        <v>43338</v>
      </c>
      <c r="I98" s="4" t="s">
        <v>745</v>
      </c>
      <c r="J98" s="4" t="str">
        <f>""</f>
        <v/>
      </c>
      <c r="K98" s="4"/>
      <c r="L98" s="4" t="s">
        <v>1135</v>
      </c>
      <c r="M98" s="4" t="s">
        <v>815</v>
      </c>
      <c r="N98" s="4" t="s">
        <v>744</v>
      </c>
      <c r="O98" s="4" t="s">
        <v>23</v>
      </c>
      <c r="P98" s="4" t="str">
        <f>"43338"</f>
        <v>43338</v>
      </c>
      <c r="Q98" s="4" t="s">
        <v>745</v>
      </c>
      <c r="R98" s="6">
        <v>44196</v>
      </c>
      <c r="S98" s="4" t="s">
        <v>76</v>
      </c>
    </row>
    <row r="99" spans="1:19" s="3" customFormat="1" ht="43.2" x14ac:dyDescent="0.3">
      <c r="A99" s="4" t="str">
        <f>"CB001A9A"</f>
        <v>CB001A9A</v>
      </c>
      <c r="B99" s="4"/>
      <c r="C99" s="4" t="s">
        <v>19</v>
      </c>
      <c r="D99" s="4" t="s">
        <v>270</v>
      </c>
      <c r="E99" s="4" t="s">
        <v>826</v>
      </c>
      <c r="F99" s="4" t="s">
        <v>40</v>
      </c>
      <c r="G99" s="4" t="s">
        <v>23</v>
      </c>
      <c r="H99" s="4" t="str">
        <f>"44654"</f>
        <v>44654</v>
      </c>
      <c r="I99" s="4" t="s">
        <v>134</v>
      </c>
      <c r="J99" s="4" t="str">
        <f>"(M) 330-674-0820"</f>
        <v>(M) 330-674-0820</v>
      </c>
      <c r="K99" s="4"/>
      <c r="L99" s="4" t="s">
        <v>112</v>
      </c>
      <c r="M99" s="4" t="s">
        <v>826</v>
      </c>
      <c r="N99" s="4" t="s">
        <v>40</v>
      </c>
      <c r="O99" s="4" t="s">
        <v>23</v>
      </c>
      <c r="P99" s="4" t="str">
        <f>"44654"</f>
        <v>44654</v>
      </c>
      <c r="Q99" s="4" t="s">
        <v>134</v>
      </c>
      <c r="R99" s="6">
        <v>44196</v>
      </c>
      <c r="S99" s="4" t="s">
        <v>76</v>
      </c>
    </row>
    <row r="100" spans="1:19" s="3" customFormat="1" ht="43.2" x14ac:dyDescent="0.3">
      <c r="A100" s="4" t="str">
        <f>"CB001DR0"</f>
        <v>CB001DR0</v>
      </c>
      <c r="B100" s="4"/>
      <c r="C100" s="4" t="s">
        <v>19</v>
      </c>
      <c r="D100" s="4" t="s">
        <v>43</v>
      </c>
      <c r="E100" s="4" t="s">
        <v>876</v>
      </c>
      <c r="F100" s="4" t="s">
        <v>40</v>
      </c>
      <c r="G100" s="4" t="s">
        <v>23</v>
      </c>
      <c r="H100" s="4" t="str">
        <f>"44654"</f>
        <v>44654</v>
      </c>
      <c r="I100" s="4" t="s">
        <v>24</v>
      </c>
      <c r="J100" s="4" t="str">
        <f>"(M) 330-893-2892"</f>
        <v>(M) 330-893-2892</v>
      </c>
      <c r="K100" s="4"/>
      <c r="L100" s="4" t="s">
        <v>1278</v>
      </c>
      <c r="M100" s="4" t="s">
        <v>876</v>
      </c>
      <c r="N100" s="4" t="s">
        <v>40</v>
      </c>
      <c r="O100" s="4" t="s">
        <v>23</v>
      </c>
      <c r="P100" s="4" t="str">
        <f>"44654"</f>
        <v>44654</v>
      </c>
      <c r="Q100" s="4" t="s">
        <v>24</v>
      </c>
      <c r="R100" s="6">
        <v>44196</v>
      </c>
      <c r="S100" s="4" t="s">
        <v>46</v>
      </c>
    </row>
    <row r="101" spans="1:19" s="3" customFormat="1" ht="43.2" x14ac:dyDescent="0.3">
      <c r="A101" s="4" t="str">
        <f>"CB001DZJ"</f>
        <v>CB001DZJ</v>
      </c>
      <c r="B101" s="4"/>
      <c r="C101" s="4" t="s">
        <v>19</v>
      </c>
      <c r="D101" s="4" t="s">
        <v>798</v>
      </c>
      <c r="E101" s="4" t="s">
        <v>889</v>
      </c>
      <c r="F101" s="4" t="s">
        <v>65</v>
      </c>
      <c r="G101" s="4" t="s">
        <v>23</v>
      </c>
      <c r="H101" s="4" t="str">
        <f>"44624"</f>
        <v>44624</v>
      </c>
      <c r="I101" s="4" t="s">
        <v>24</v>
      </c>
      <c r="J101" s="4" t="str">
        <f>"(P) 330-988-2250"</f>
        <v>(P) 330-988-2250</v>
      </c>
      <c r="K101" s="4" t="s">
        <v>890</v>
      </c>
      <c r="L101" s="4" t="s">
        <v>1093</v>
      </c>
      <c r="M101" s="4" t="s">
        <v>889</v>
      </c>
      <c r="N101" s="4" t="s">
        <v>65</v>
      </c>
      <c r="O101" s="4" t="s">
        <v>23</v>
      </c>
      <c r="P101" s="4" t="str">
        <f>"44624"</f>
        <v>44624</v>
      </c>
      <c r="Q101" s="4" t="s">
        <v>24</v>
      </c>
      <c r="R101" s="6">
        <v>44196</v>
      </c>
      <c r="S101" s="4" t="s">
        <v>46</v>
      </c>
    </row>
    <row r="102" spans="1:19" s="3" customFormat="1" ht="43.2" x14ac:dyDescent="0.3">
      <c r="A102" s="4" t="str">
        <f>"CB001EJ9"</f>
        <v>CB001EJ9</v>
      </c>
      <c r="B102" s="4"/>
      <c r="C102" s="4" t="s">
        <v>19</v>
      </c>
      <c r="D102" s="4" t="s">
        <v>20</v>
      </c>
      <c r="E102" s="4" t="s">
        <v>905</v>
      </c>
      <c r="F102" s="4" t="s">
        <v>40</v>
      </c>
      <c r="G102" s="4" t="s">
        <v>23</v>
      </c>
      <c r="H102" s="4" t="str">
        <f>"44654"</f>
        <v>44654</v>
      </c>
      <c r="I102" s="4" t="s">
        <v>24</v>
      </c>
      <c r="J102" s="4" t="str">
        <f>"(P) 330-893-3640 Extn 5"</f>
        <v>(P) 330-893-3640 Extn 5</v>
      </c>
      <c r="K102" s="4"/>
      <c r="L102" s="4" t="s">
        <v>41</v>
      </c>
      <c r="M102" s="4" t="s">
        <v>905</v>
      </c>
      <c r="N102" s="4" t="s">
        <v>40</v>
      </c>
      <c r="O102" s="4" t="s">
        <v>23</v>
      </c>
      <c r="P102" s="4" t="str">
        <f>"44654"</f>
        <v>44654</v>
      </c>
      <c r="Q102" s="4" t="s">
        <v>24</v>
      </c>
      <c r="R102" s="6">
        <v>44196</v>
      </c>
      <c r="S102" s="4" t="s">
        <v>76</v>
      </c>
    </row>
    <row r="103" spans="1:19" s="3" customFormat="1" ht="43.2" x14ac:dyDescent="0.3">
      <c r="A103" s="4" t="str">
        <f>"CB001KYT"</f>
        <v>CB001KYT</v>
      </c>
      <c r="B103" s="4"/>
      <c r="C103" s="4" t="s">
        <v>19</v>
      </c>
      <c r="D103" s="4" t="s">
        <v>43</v>
      </c>
      <c r="E103" s="4" t="s">
        <v>969</v>
      </c>
      <c r="F103" s="4" t="s">
        <v>111</v>
      </c>
      <c r="G103" s="4" t="s">
        <v>23</v>
      </c>
      <c r="H103" s="4" t="str">
        <f>"43804"</f>
        <v>43804</v>
      </c>
      <c r="I103" s="4" t="s">
        <v>52</v>
      </c>
      <c r="J103" s="4" t="str">
        <f>"(P) 330-695-5909"</f>
        <v>(P) 330-695-5909</v>
      </c>
      <c r="K103" s="4"/>
      <c r="L103" s="4" t="s">
        <v>630</v>
      </c>
      <c r="M103" s="4" t="s">
        <v>969</v>
      </c>
      <c r="N103" s="4" t="s">
        <v>111</v>
      </c>
      <c r="O103" s="4" t="s">
        <v>23</v>
      </c>
      <c r="P103" s="4" t="str">
        <f>"44627"</f>
        <v>44627</v>
      </c>
      <c r="Q103" s="4" t="s">
        <v>52</v>
      </c>
      <c r="R103" s="6">
        <v>44196</v>
      </c>
      <c r="S103" s="4" t="s">
        <v>35</v>
      </c>
    </row>
    <row r="104" spans="1:19" s="3" customFormat="1" ht="43.2" x14ac:dyDescent="0.3">
      <c r="A104" s="4" t="str">
        <f>"CB001SE2"</f>
        <v>CB001SE2</v>
      </c>
      <c r="B104" s="4"/>
      <c r="C104" s="4" t="s">
        <v>19</v>
      </c>
      <c r="D104" s="4" t="s">
        <v>864</v>
      </c>
      <c r="E104" s="4" t="s">
        <v>1154</v>
      </c>
      <c r="F104" s="4" t="s">
        <v>65</v>
      </c>
      <c r="G104" s="4" t="s">
        <v>23</v>
      </c>
      <c r="H104" s="4" t="str">
        <f>"44624"</f>
        <v>44624</v>
      </c>
      <c r="I104" s="4" t="s">
        <v>24</v>
      </c>
      <c r="J104" s="4" t="str">
        <f>"(P) 330-763-3958"</f>
        <v>(P) 330-763-3958</v>
      </c>
      <c r="K104" s="4"/>
      <c r="L104" s="4" t="s">
        <v>1264</v>
      </c>
      <c r="M104" s="4" t="s">
        <v>1154</v>
      </c>
      <c r="N104" s="4" t="s">
        <v>65</v>
      </c>
      <c r="O104" s="4" t="s">
        <v>23</v>
      </c>
      <c r="P104" s="4" t="str">
        <f>"44624"</f>
        <v>44624</v>
      </c>
      <c r="Q104" s="4" t="s">
        <v>24</v>
      </c>
      <c r="R104" s="6">
        <v>44196</v>
      </c>
      <c r="S104" s="4" t="s">
        <v>46</v>
      </c>
    </row>
    <row r="105" spans="1:19" s="3" customFormat="1" ht="43.2" x14ac:dyDescent="0.3">
      <c r="A105" s="4" t="str">
        <f>"CB001T5G"</f>
        <v>CB001T5G</v>
      </c>
      <c r="B105" s="4"/>
      <c r="C105" s="4" t="s">
        <v>19</v>
      </c>
      <c r="D105" s="4" t="s">
        <v>20</v>
      </c>
      <c r="E105" s="4" t="s">
        <v>1159</v>
      </c>
      <c r="F105" s="4" t="s">
        <v>40</v>
      </c>
      <c r="G105" s="4" t="s">
        <v>23</v>
      </c>
      <c r="H105" s="4" t="str">
        <f>"44654"</f>
        <v>44654</v>
      </c>
      <c r="I105" s="4" t="s">
        <v>24</v>
      </c>
      <c r="J105" s="4" t="str">
        <f>"(M) 330-674-2647"</f>
        <v>(M) 330-674-2647</v>
      </c>
      <c r="K105" s="4"/>
      <c r="L105" s="4" t="s">
        <v>823</v>
      </c>
      <c r="M105" s="4" t="s">
        <v>1159</v>
      </c>
      <c r="N105" s="4" t="s">
        <v>40</v>
      </c>
      <c r="O105" s="4" t="s">
        <v>23</v>
      </c>
      <c r="P105" s="4" t="str">
        <f>"44654"</f>
        <v>44654</v>
      </c>
      <c r="Q105" s="4" t="s">
        <v>24</v>
      </c>
      <c r="R105" s="6">
        <v>44196</v>
      </c>
      <c r="S105" s="4" t="s">
        <v>35</v>
      </c>
    </row>
    <row r="106" spans="1:19" s="3" customFormat="1" ht="43.2" x14ac:dyDescent="0.3">
      <c r="A106" s="4" t="str">
        <f>"CB001U78"</f>
        <v>CB001U78</v>
      </c>
      <c r="B106" s="4"/>
      <c r="C106" s="4" t="s">
        <v>19</v>
      </c>
      <c r="D106" s="4" t="s">
        <v>93</v>
      </c>
      <c r="E106" s="4" t="s">
        <v>1176</v>
      </c>
      <c r="F106" s="4" t="s">
        <v>40</v>
      </c>
      <c r="G106" s="4" t="s">
        <v>23</v>
      </c>
      <c r="H106" s="4" t="str">
        <f>"44654"</f>
        <v>44654</v>
      </c>
      <c r="I106" s="4" t="s">
        <v>24</v>
      </c>
      <c r="J106" s="4" t="str">
        <f>"(P) 330-600-8226"</f>
        <v>(P) 330-600-8226</v>
      </c>
      <c r="K106" s="4"/>
      <c r="L106" s="4" t="s">
        <v>1111</v>
      </c>
      <c r="M106" s="4" t="s">
        <v>1176</v>
      </c>
      <c r="N106" s="4" t="s">
        <v>40</v>
      </c>
      <c r="O106" s="4" t="s">
        <v>23</v>
      </c>
      <c r="P106" s="4" t="str">
        <f>"44654"</f>
        <v>44654</v>
      </c>
      <c r="Q106" s="4" t="s">
        <v>24</v>
      </c>
      <c r="R106" s="6">
        <v>44196</v>
      </c>
      <c r="S106" s="4" t="s">
        <v>46</v>
      </c>
    </row>
    <row r="107" spans="1:19" s="3" customFormat="1" ht="43.2" x14ac:dyDescent="0.3">
      <c r="A107" s="4" t="str">
        <f>"CB001WL7"</f>
        <v>CB001WL7</v>
      </c>
      <c r="B107" s="4" t="s">
        <v>1216</v>
      </c>
      <c r="C107" s="4" t="s">
        <v>19</v>
      </c>
      <c r="D107" s="4" t="s">
        <v>1217</v>
      </c>
      <c r="E107" s="4" t="s">
        <v>1218</v>
      </c>
      <c r="F107" s="4" t="s">
        <v>365</v>
      </c>
      <c r="G107" s="4" t="s">
        <v>23</v>
      </c>
      <c r="H107" s="4" t="str">
        <f>"44875"</f>
        <v>44875</v>
      </c>
      <c r="I107" s="4" t="s">
        <v>88</v>
      </c>
      <c r="J107" s="4" t="str">
        <f>"(P) 419-342-3032"</f>
        <v>(P) 419-342-3032</v>
      </c>
      <c r="K107" s="4"/>
      <c r="L107" s="4" t="s">
        <v>650</v>
      </c>
      <c r="M107" s="4" t="s">
        <v>1218</v>
      </c>
      <c r="N107" s="4" t="s">
        <v>365</v>
      </c>
      <c r="O107" s="4" t="s">
        <v>23</v>
      </c>
      <c r="P107" s="4" t="str">
        <f>"44875"</f>
        <v>44875</v>
      </c>
      <c r="Q107" s="4" t="s">
        <v>88</v>
      </c>
      <c r="R107" s="6">
        <v>44196</v>
      </c>
      <c r="S107" s="4" t="s">
        <v>35</v>
      </c>
    </row>
    <row r="108" spans="1:19" s="3" customFormat="1" ht="43.2" x14ac:dyDescent="0.3">
      <c r="A108" s="4" t="str">
        <f>"CB0021S4"</f>
        <v>CB0021S4</v>
      </c>
      <c r="B108" s="4"/>
      <c r="C108" s="4" t="s">
        <v>19</v>
      </c>
      <c r="D108" s="4" t="s">
        <v>270</v>
      </c>
      <c r="E108" s="4" t="s">
        <v>1238</v>
      </c>
      <c r="F108" s="4" t="s">
        <v>74</v>
      </c>
      <c r="G108" s="4" t="s">
        <v>23</v>
      </c>
      <c r="H108" s="4" t="str">
        <f>"44681"</f>
        <v>44681</v>
      </c>
      <c r="I108" s="4" t="s">
        <v>24</v>
      </c>
      <c r="J108" s="4" t="str">
        <f>"(P) 330-893-6013 (M) 330-279-5480"</f>
        <v>(P) 330-893-6013 (M) 330-279-5480</v>
      </c>
      <c r="K108" s="4"/>
      <c r="L108" s="4" t="s">
        <v>777</v>
      </c>
      <c r="M108" s="4" t="s">
        <v>1238</v>
      </c>
      <c r="N108" s="4" t="s">
        <v>74</v>
      </c>
      <c r="O108" s="4" t="s">
        <v>23</v>
      </c>
      <c r="P108" s="4" t="str">
        <f>"44681"</f>
        <v>44681</v>
      </c>
      <c r="Q108" s="4" t="s">
        <v>24</v>
      </c>
      <c r="R108" s="6">
        <v>44196</v>
      </c>
      <c r="S108" s="4" t="s">
        <v>76</v>
      </c>
    </row>
    <row r="109" spans="1:19" s="3" customFormat="1" ht="43.2" x14ac:dyDescent="0.3">
      <c r="A109" s="4" t="str">
        <f>"CB00274Q"</f>
        <v>CB00274Q</v>
      </c>
      <c r="B109" s="4" t="s">
        <v>1274</v>
      </c>
      <c r="C109" s="4" t="s">
        <v>619</v>
      </c>
      <c r="D109" s="4" t="s">
        <v>1275</v>
      </c>
      <c r="E109" s="4" t="s">
        <v>1276</v>
      </c>
      <c r="F109" s="4" t="s">
        <v>1277</v>
      </c>
      <c r="G109" s="4" t="s">
        <v>23</v>
      </c>
      <c r="H109" s="4" t="str">
        <f>"43804"</f>
        <v>43804</v>
      </c>
      <c r="I109" s="4" t="s">
        <v>66</v>
      </c>
      <c r="J109" s="4" t="str">
        <f>"(M) 330-600-7556"</f>
        <v>(M) 330-600-7556</v>
      </c>
      <c r="K109" s="4"/>
      <c r="L109" s="4" t="s">
        <v>845</v>
      </c>
      <c r="M109" s="4" t="s">
        <v>1279</v>
      </c>
      <c r="N109" s="4" t="s">
        <v>22</v>
      </c>
      <c r="O109" s="4" t="s">
        <v>23</v>
      </c>
      <c r="P109" s="4" t="str">
        <f>"43804"</f>
        <v>43804</v>
      </c>
      <c r="Q109" s="4" t="s">
        <v>66</v>
      </c>
      <c r="R109" s="6">
        <v>44196</v>
      </c>
      <c r="S109" s="4" t="s">
        <v>46</v>
      </c>
    </row>
    <row r="110" spans="1:19" s="3" customFormat="1" ht="43.2" x14ac:dyDescent="0.3">
      <c r="A110" s="4" t="str">
        <f>"CB002AT0"</f>
        <v>CB002AT0</v>
      </c>
      <c r="B110" s="4" t="s">
        <v>1349</v>
      </c>
      <c r="C110" s="4" t="s">
        <v>19</v>
      </c>
      <c r="D110" s="4" t="s">
        <v>20</v>
      </c>
      <c r="E110" s="4" t="s">
        <v>1350</v>
      </c>
      <c r="F110" s="4" t="s">
        <v>74</v>
      </c>
      <c r="G110" s="4" t="s">
        <v>23</v>
      </c>
      <c r="H110" s="4" t="str">
        <f>"44681"</f>
        <v>44681</v>
      </c>
      <c r="I110" s="4" t="s">
        <v>24</v>
      </c>
      <c r="J110" s="4" t="str">
        <f>"(P) 330-600-8691"</f>
        <v>(P) 330-600-8691</v>
      </c>
      <c r="K110" s="4"/>
      <c r="L110" s="4" t="s">
        <v>293</v>
      </c>
      <c r="M110" s="4" t="s">
        <v>1350</v>
      </c>
      <c r="N110" s="4" t="s">
        <v>74</v>
      </c>
      <c r="O110" s="4" t="s">
        <v>23</v>
      </c>
      <c r="P110" s="4" t="str">
        <f>"44681"</f>
        <v>44681</v>
      </c>
      <c r="Q110" s="4" t="s">
        <v>24</v>
      </c>
      <c r="R110" s="6">
        <v>44196</v>
      </c>
      <c r="S110" s="4" t="s">
        <v>76</v>
      </c>
    </row>
    <row r="111" spans="1:19" s="3" customFormat="1" ht="43.2" x14ac:dyDescent="0.3">
      <c r="A111" s="4" t="str">
        <f>"CB002BZJ"</f>
        <v>CB002BZJ</v>
      </c>
      <c r="B111" s="4"/>
      <c r="C111" s="4" t="s">
        <v>19</v>
      </c>
      <c r="D111" s="4" t="s">
        <v>20</v>
      </c>
      <c r="E111" s="4" t="s">
        <v>1395</v>
      </c>
      <c r="F111" s="4" t="s">
        <v>40</v>
      </c>
      <c r="G111" s="4" t="s">
        <v>23</v>
      </c>
      <c r="H111" s="4" t="str">
        <f>"44654"</f>
        <v>44654</v>
      </c>
      <c r="I111" s="4" t="s">
        <v>24</v>
      </c>
      <c r="J111" s="4" t="str">
        <f>"(P) 330-275-5693"</f>
        <v>(P) 330-275-5693</v>
      </c>
      <c r="K111" s="4"/>
      <c r="L111" s="4" t="s">
        <v>966</v>
      </c>
      <c r="M111" s="4" t="s">
        <v>1395</v>
      </c>
      <c r="N111" s="4" t="s">
        <v>40</v>
      </c>
      <c r="O111" s="4" t="s">
        <v>23</v>
      </c>
      <c r="P111" s="4" t="str">
        <f>"44654"</f>
        <v>44654</v>
      </c>
      <c r="Q111" s="4" t="s">
        <v>24</v>
      </c>
      <c r="R111" s="6">
        <v>44196</v>
      </c>
      <c r="S111" s="4" t="s">
        <v>46</v>
      </c>
    </row>
    <row r="112" spans="1:19" s="3" customFormat="1" ht="43.2" x14ac:dyDescent="0.3">
      <c r="A112" s="4" t="str">
        <f>"CB001LZM"</f>
        <v>CB001LZM</v>
      </c>
      <c r="B112" s="4" t="s">
        <v>1002</v>
      </c>
      <c r="C112" s="4" t="s">
        <v>1003</v>
      </c>
      <c r="D112" s="4" t="s">
        <v>1004</v>
      </c>
      <c r="E112" s="4" t="s">
        <v>1005</v>
      </c>
      <c r="F112" s="4" t="s">
        <v>65</v>
      </c>
      <c r="G112" s="4" t="s">
        <v>23</v>
      </c>
      <c r="H112" s="4" t="str">
        <f>"44624"</f>
        <v>44624</v>
      </c>
      <c r="I112" s="4" t="s">
        <v>24</v>
      </c>
      <c r="J112" s="4" t="str">
        <f>"(M) 330-231-0319"</f>
        <v>(M) 330-231-0319</v>
      </c>
      <c r="K112" s="4"/>
      <c r="L112" s="4" t="s">
        <v>1417</v>
      </c>
      <c r="M112" s="4" t="s">
        <v>1005</v>
      </c>
      <c r="N112" s="4" t="s">
        <v>65</v>
      </c>
      <c r="O112" s="4" t="s">
        <v>23</v>
      </c>
      <c r="P112" s="4" t="str">
        <f>"44624"</f>
        <v>44624</v>
      </c>
      <c r="Q112" s="4" t="s">
        <v>24</v>
      </c>
      <c r="R112" s="6">
        <v>44196</v>
      </c>
      <c r="S112" s="4" t="s">
        <v>46</v>
      </c>
    </row>
    <row r="113" spans="1:19" s="3" customFormat="1" ht="43.2" x14ac:dyDescent="0.3">
      <c r="A113" s="4" t="str">
        <f>"CB0012U4"</f>
        <v>CB0012U4</v>
      </c>
      <c r="B113" s="4" t="s">
        <v>688</v>
      </c>
      <c r="C113" s="4" t="s">
        <v>689</v>
      </c>
      <c r="D113" s="4" t="s">
        <v>43</v>
      </c>
      <c r="E113" s="4" t="s">
        <v>690</v>
      </c>
      <c r="F113" s="4" t="s">
        <v>40</v>
      </c>
      <c r="G113" s="4" t="s">
        <v>23</v>
      </c>
      <c r="H113" s="4" t="str">
        <f>"44654"</f>
        <v>44654</v>
      </c>
      <c r="I113" s="4" t="s">
        <v>24</v>
      </c>
      <c r="J113" s="4" t="str">
        <f>"(P) 330-987-1451"</f>
        <v>(P) 330-987-1451</v>
      </c>
      <c r="K113" s="4"/>
      <c r="L113" s="4" t="s">
        <v>724</v>
      </c>
      <c r="M113" s="4" t="s">
        <v>690</v>
      </c>
      <c r="N113" s="4" t="s">
        <v>40</v>
      </c>
      <c r="O113" s="4" t="s">
        <v>23</v>
      </c>
      <c r="P113" s="4" t="str">
        <f>"44654"</f>
        <v>44654</v>
      </c>
      <c r="Q113" s="4" t="s">
        <v>24</v>
      </c>
      <c r="R113" s="6">
        <v>44196</v>
      </c>
      <c r="S113" s="4" t="s">
        <v>26</v>
      </c>
    </row>
    <row r="114" spans="1:19" s="3" customFormat="1" ht="43.2" x14ac:dyDescent="0.3">
      <c r="A114" s="4" t="str">
        <f>"CB001650"</f>
        <v>CB001650</v>
      </c>
      <c r="B114" s="4" t="s">
        <v>737</v>
      </c>
      <c r="C114" s="4" t="s">
        <v>689</v>
      </c>
      <c r="D114" s="4" t="s">
        <v>20</v>
      </c>
      <c r="E114" s="4" t="s">
        <v>738</v>
      </c>
      <c r="F114" s="4" t="s">
        <v>74</v>
      </c>
      <c r="G114" s="4" t="s">
        <v>23</v>
      </c>
      <c r="H114" s="4" t="str">
        <f>"44681"</f>
        <v>44681</v>
      </c>
      <c r="I114" s="4" t="s">
        <v>66</v>
      </c>
      <c r="J114" s="4" t="str">
        <f>"(P) 330-852-0705 (F) 330-852-0751"</f>
        <v>(P) 330-852-0705 (F) 330-852-0751</v>
      </c>
      <c r="K114" s="4"/>
      <c r="L114" s="4" t="s">
        <v>175</v>
      </c>
      <c r="M114" s="4" t="s">
        <v>738</v>
      </c>
      <c r="N114" s="4" t="s">
        <v>74</v>
      </c>
      <c r="O114" s="4" t="s">
        <v>23</v>
      </c>
      <c r="P114" s="4" t="str">
        <f>"44681"</f>
        <v>44681</v>
      </c>
      <c r="Q114" s="4" t="s">
        <v>66</v>
      </c>
      <c r="R114" s="6">
        <v>44196</v>
      </c>
      <c r="S114" s="4" t="s">
        <v>46</v>
      </c>
    </row>
    <row r="115" spans="1:19" s="3" customFormat="1" ht="43.2" x14ac:dyDescent="0.3">
      <c r="A115" s="4" t="str">
        <f>"CB0000AK"</f>
        <v>CB0000AK</v>
      </c>
      <c r="B115" s="4"/>
      <c r="C115" s="4" t="s">
        <v>42</v>
      </c>
      <c r="D115" s="4" t="s">
        <v>43</v>
      </c>
      <c r="E115" s="4" t="s">
        <v>44</v>
      </c>
      <c r="F115" s="4" t="s">
        <v>40</v>
      </c>
      <c r="G115" s="4" t="s">
        <v>23</v>
      </c>
      <c r="H115" s="4" t="str">
        <f>"44654"</f>
        <v>44654</v>
      </c>
      <c r="I115" s="4" t="s">
        <v>24</v>
      </c>
      <c r="J115" s="4" t="str">
        <f>"(P) 330-893-3720"</f>
        <v>(P) 330-893-3720</v>
      </c>
      <c r="K115" s="4"/>
      <c r="L115" s="4" t="s">
        <v>872</v>
      </c>
      <c r="M115" s="4" t="s">
        <v>44</v>
      </c>
      <c r="N115" s="4" t="s">
        <v>40</v>
      </c>
      <c r="O115" s="4" t="s">
        <v>23</v>
      </c>
      <c r="P115" s="4" t="str">
        <f>"44654"</f>
        <v>44654</v>
      </c>
      <c r="Q115" s="4" t="s">
        <v>24</v>
      </c>
      <c r="R115" s="6">
        <v>44196</v>
      </c>
      <c r="S115" s="4" t="s">
        <v>46</v>
      </c>
    </row>
    <row r="116" spans="1:19" s="3" customFormat="1" ht="43.2" x14ac:dyDescent="0.3">
      <c r="A116" s="4" t="str">
        <f>"CB0000VG"</f>
        <v>CB0000VG</v>
      </c>
      <c r="B116" s="4" t="s">
        <v>103</v>
      </c>
      <c r="C116" s="4" t="s">
        <v>42</v>
      </c>
      <c r="D116" s="4" t="s">
        <v>55</v>
      </c>
      <c r="E116" s="4" t="s">
        <v>104</v>
      </c>
      <c r="F116" s="4" t="s">
        <v>105</v>
      </c>
      <c r="G116" s="4" t="s">
        <v>23</v>
      </c>
      <c r="H116" s="4" t="str">
        <f>"44617"</f>
        <v>44617</v>
      </c>
      <c r="I116" s="4" t="s">
        <v>24</v>
      </c>
      <c r="J116" s="4" t="str">
        <f>"(F) 330-897-2197 (M) 330-600-0864"</f>
        <v>(F) 330-897-2197 (M) 330-600-0864</v>
      </c>
      <c r="K116" s="4"/>
      <c r="L116" s="4" t="s">
        <v>908</v>
      </c>
      <c r="M116" s="4" t="s">
        <v>107</v>
      </c>
      <c r="N116" s="4" t="s">
        <v>22</v>
      </c>
      <c r="O116" s="4" t="s">
        <v>23</v>
      </c>
      <c r="P116" s="4" t="str">
        <f>"43804-3342"</f>
        <v>43804-3342</v>
      </c>
      <c r="Q116" s="4" t="s">
        <v>24</v>
      </c>
      <c r="R116" s="6">
        <v>44196</v>
      </c>
      <c r="S116" s="4" t="s">
        <v>46</v>
      </c>
    </row>
    <row r="117" spans="1:19" s="3" customFormat="1" ht="43.2" x14ac:dyDescent="0.3">
      <c r="A117" s="4" t="str">
        <f>"CB0003B7"</f>
        <v>CB0003B7</v>
      </c>
      <c r="B117" s="4" t="s">
        <v>220</v>
      </c>
      <c r="C117" s="4" t="s">
        <v>42</v>
      </c>
      <c r="D117" s="4" t="s">
        <v>43</v>
      </c>
      <c r="E117" s="4" t="s">
        <v>221</v>
      </c>
      <c r="F117" s="4" t="s">
        <v>99</v>
      </c>
      <c r="G117" s="4" t="s">
        <v>23</v>
      </c>
      <c r="H117" s="4" t="str">
        <f>"43824"</f>
        <v>43824</v>
      </c>
      <c r="I117" s="4" t="s">
        <v>134</v>
      </c>
      <c r="J117" s="4" t="str">
        <f>"(P) 330-897-5700"</f>
        <v>(P) 330-897-5700</v>
      </c>
      <c r="K117" s="4"/>
      <c r="L117" s="4" t="s">
        <v>164</v>
      </c>
      <c r="M117" s="4" t="s">
        <v>223</v>
      </c>
      <c r="N117" s="4" t="s">
        <v>99</v>
      </c>
      <c r="O117" s="4" t="s">
        <v>23</v>
      </c>
      <c r="P117" s="4" t="str">
        <f>"43824"</f>
        <v>43824</v>
      </c>
      <c r="Q117" s="4" t="s">
        <v>134</v>
      </c>
      <c r="R117" s="6">
        <v>44196</v>
      </c>
      <c r="S117" s="4" t="s">
        <v>26</v>
      </c>
    </row>
    <row r="118" spans="1:19" s="3" customFormat="1" ht="43.2" x14ac:dyDescent="0.3">
      <c r="A118" s="4" t="str">
        <f>"CB0017PT"</f>
        <v>CB0017PT</v>
      </c>
      <c r="B118" s="4"/>
      <c r="C118" s="4" t="s">
        <v>42</v>
      </c>
      <c r="D118" s="4" t="s">
        <v>49</v>
      </c>
      <c r="E118" s="4" t="s">
        <v>773</v>
      </c>
      <c r="F118" s="4" t="s">
        <v>40</v>
      </c>
      <c r="G118" s="4" t="s">
        <v>23</v>
      </c>
      <c r="H118" s="4" t="str">
        <f>"44654"</f>
        <v>44654</v>
      </c>
      <c r="I118" s="4" t="s">
        <v>24</v>
      </c>
      <c r="J118" s="4" t="str">
        <f>"(P) 330-359-5523 (F) 330-359-0384"</f>
        <v>(P) 330-359-5523 (F) 330-359-0384</v>
      </c>
      <c r="K118" s="4"/>
      <c r="L118" s="4" t="s">
        <v>904</v>
      </c>
      <c r="M118" s="4" t="s">
        <v>775</v>
      </c>
      <c r="N118" s="4" t="s">
        <v>40</v>
      </c>
      <c r="O118" s="4" t="s">
        <v>23</v>
      </c>
      <c r="P118" s="4" t="str">
        <f>"44654"</f>
        <v>44654</v>
      </c>
      <c r="Q118" s="4" t="s">
        <v>24</v>
      </c>
      <c r="R118" s="6">
        <v>44196</v>
      </c>
      <c r="S118" s="4" t="s">
        <v>46</v>
      </c>
    </row>
    <row r="119" spans="1:19" s="3" customFormat="1" ht="43.2" x14ac:dyDescent="0.3">
      <c r="A119" s="4" t="str">
        <f>"CB000RSP"</f>
        <v>CB000RSP</v>
      </c>
      <c r="B119" s="4"/>
      <c r="C119" s="4" t="s">
        <v>571</v>
      </c>
      <c r="D119" s="4" t="s">
        <v>572</v>
      </c>
      <c r="E119" s="4" t="s">
        <v>573</v>
      </c>
      <c r="F119" s="4" t="s">
        <v>574</v>
      </c>
      <c r="G119" s="4" t="s">
        <v>23</v>
      </c>
      <c r="H119" s="4" t="str">
        <f>"45321-9707"</f>
        <v>45321-9707</v>
      </c>
      <c r="I119" s="4" t="s">
        <v>575</v>
      </c>
      <c r="J119" s="4" t="str">
        <f>"(M) 937-273-2731"</f>
        <v>(M) 937-273-2731</v>
      </c>
      <c r="K119" s="4"/>
      <c r="L119" s="4" t="s">
        <v>1305</v>
      </c>
      <c r="M119" s="4" t="s">
        <v>573</v>
      </c>
      <c r="N119" s="4" t="s">
        <v>574</v>
      </c>
      <c r="O119" s="4" t="s">
        <v>23</v>
      </c>
      <c r="P119" s="4" t="str">
        <f>"45321-9707"</f>
        <v>45321-9707</v>
      </c>
      <c r="Q119" s="4" t="s">
        <v>575</v>
      </c>
      <c r="R119" s="6">
        <v>44196</v>
      </c>
      <c r="S119" s="4" t="s">
        <v>76</v>
      </c>
    </row>
    <row r="120" spans="1:19" s="3" customFormat="1" ht="43.2" x14ac:dyDescent="0.3">
      <c r="A120" s="4" t="str">
        <f>"CB0007EL"</f>
        <v>CB0007EL</v>
      </c>
      <c r="B120" s="4" t="s">
        <v>398</v>
      </c>
      <c r="C120" s="4" t="s">
        <v>399</v>
      </c>
      <c r="D120" s="4" t="s">
        <v>400</v>
      </c>
      <c r="E120" s="4" t="s">
        <v>401</v>
      </c>
      <c r="F120" s="4" t="s">
        <v>402</v>
      </c>
      <c r="G120" s="4" t="s">
        <v>23</v>
      </c>
      <c r="H120" s="4" t="str">
        <f>"45122"</f>
        <v>45122</v>
      </c>
      <c r="I120" s="4" t="s">
        <v>403</v>
      </c>
      <c r="J120" s="4" t="str">
        <f>"(P) 513-625-1312"</f>
        <v>(P) 513-625-1312</v>
      </c>
      <c r="K120" s="4" t="s">
        <v>404</v>
      </c>
      <c r="L120" s="4" t="s">
        <v>1057</v>
      </c>
      <c r="M120" s="4" t="s">
        <v>401</v>
      </c>
      <c r="N120" s="4" t="s">
        <v>402</v>
      </c>
      <c r="O120" s="4" t="s">
        <v>23</v>
      </c>
      <c r="P120" s="4" t="str">
        <f>"45122"</f>
        <v>45122</v>
      </c>
      <c r="Q120" s="4" t="s">
        <v>403</v>
      </c>
      <c r="R120" s="6">
        <v>44196</v>
      </c>
      <c r="S120" s="4" t="s">
        <v>46</v>
      </c>
    </row>
    <row r="121" spans="1:19" s="3" customFormat="1" ht="43.2" x14ac:dyDescent="0.3">
      <c r="A121" s="4" t="str">
        <f>"CB000NYP"</f>
        <v>CB000NYP</v>
      </c>
      <c r="B121" s="4" t="s">
        <v>498</v>
      </c>
      <c r="C121" s="4" t="s">
        <v>499</v>
      </c>
      <c r="D121" s="4" t="s">
        <v>20</v>
      </c>
      <c r="E121" s="4" t="s">
        <v>500</v>
      </c>
      <c r="F121" s="4" t="s">
        <v>40</v>
      </c>
      <c r="G121" s="4" t="s">
        <v>23</v>
      </c>
      <c r="H121" s="4" t="str">
        <f>"44654"</f>
        <v>44654</v>
      </c>
      <c r="I121" s="4" t="s">
        <v>24</v>
      </c>
      <c r="J121" s="4" t="str">
        <f>"(P) 330-600-7646"</f>
        <v>(P) 330-600-7646</v>
      </c>
      <c r="K121" s="4"/>
      <c r="L121" s="4" t="s">
        <v>805</v>
      </c>
      <c r="M121" s="4" t="s">
        <v>500</v>
      </c>
      <c r="N121" s="4" t="s">
        <v>40</v>
      </c>
      <c r="O121" s="4" t="s">
        <v>23</v>
      </c>
      <c r="P121" s="4" t="str">
        <f>"44654"</f>
        <v>44654</v>
      </c>
      <c r="Q121" s="4" t="s">
        <v>24</v>
      </c>
      <c r="R121" s="6">
        <v>44196</v>
      </c>
      <c r="S121" s="4" t="s">
        <v>26</v>
      </c>
    </row>
    <row r="122" spans="1:19" s="3" customFormat="1" ht="43.2" x14ac:dyDescent="0.3">
      <c r="A122" s="4" t="str">
        <f>"CB001PEE"</f>
        <v>CB001PEE</v>
      </c>
      <c r="B122" s="4" t="s">
        <v>1078</v>
      </c>
      <c r="C122" s="4" t="s">
        <v>499</v>
      </c>
      <c r="D122" s="4" t="s">
        <v>43</v>
      </c>
      <c r="E122" s="4" t="s">
        <v>1079</v>
      </c>
      <c r="F122" s="4" t="s">
        <v>40</v>
      </c>
      <c r="G122" s="4" t="s">
        <v>23</v>
      </c>
      <c r="H122" s="4" t="str">
        <f>"44654"</f>
        <v>44654</v>
      </c>
      <c r="I122" s="4" t="s">
        <v>24</v>
      </c>
      <c r="J122" s="4" t="str">
        <f>"(P) 330-359-6428 (M) 330-275-7606"</f>
        <v>(P) 330-359-6428 (M) 330-275-7606</v>
      </c>
      <c r="K122" s="4"/>
      <c r="L122" s="4" t="s">
        <v>1158</v>
      </c>
      <c r="M122" s="4" t="s">
        <v>1079</v>
      </c>
      <c r="N122" s="4" t="s">
        <v>40</v>
      </c>
      <c r="O122" s="4" t="s">
        <v>23</v>
      </c>
      <c r="P122" s="4" t="str">
        <f>"44654"</f>
        <v>44654</v>
      </c>
      <c r="Q122" s="4" t="s">
        <v>24</v>
      </c>
      <c r="R122" s="6">
        <v>44196</v>
      </c>
      <c r="S122" s="4" t="s">
        <v>35</v>
      </c>
    </row>
    <row r="123" spans="1:19" s="3" customFormat="1" ht="43.2" x14ac:dyDescent="0.3">
      <c r="A123" s="4" t="str">
        <f>"CB002B48"</f>
        <v>CB002B48</v>
      </c>
      <c r="B123" s="4" t="s">
        <v>1363</v>
      </c>
      <c r="C123" s="4" t="s">
        <v>499</v>
      </c>
      <c r="D123" s="4" t="s">
        <v>59</v>
      </c>
      <c r="E123" s="4" t="s">
        <v>1364</v>
      </c>
      <c r="F123" s="4" t="s">
        <v>111</v>
      </c>
      <c r="G123" s="4" t="s">
        <v>23</v>
      </c>
      <c r="H123" s="4" t="str">
        <f>"44627"</f>
        <v>44627</v>
      </c>
      <c r="I123" s="4" t="s">
        <v>24</v>
      </c>
      <c r="J123" s="4" t="str">
        <f>"(P) 330-279-9083"</f>
        <v>(P) 330-279-9083</v>
      </c>
      <c r="K123" s="4"/>
      <c r="L123" s="4" t="s">
        <v>1351</v>
      </c>
      <c r="M123" s="4" t="s">
        <v>1364</v>
      </c>
      <c r="N123" s="4" t="s">
        <v>111</v>
      </c>
      <c r="O123" s="4" t="s">
        <v>23</v>
      </c>
      <c r="P123" s="4" t="str">
        <f>"44627"</f>
        <v>44627</v>
      </c>
      <c r="Q123" s="4" t="s">
        <v>24</v>
      </c>
      <c r="R123" s="6">
        <v>44196</v>
      </c>
      <c r="S123" s="4" t="s">
        <v>72</v>
      </c>
    </row>
    <row r="124" spans="1:19" s="3" customFormat="1" ht="43.2" x14ac:dyDescent="0.3">
      <c r="A124" s="4" t="str">
        <f>"CB001TB4"</f>
        <v>CB001TB4</v>
      </c>
      <c r="B124" s="4" t="s">
        <v>1163</v>
      </c>
      <c r="C124" s="4" t="s">
        <v>1164</v>
      </c>
      <c r="D124" s="4" t="s">
        <v>20</v>
      </c>
      <c r="E124" s="4" t="s">
        <v>1165</v>
      </c>
      <c r="F124" s="4" t="s">
        <v>40</v>
      </c>
      <c r="G124" s="4" t="s">
        <v>23</v>
      </c>
      <c r="H124" s="4" t="str">
        <f>"44654"</f>
        <v>44654</v>
      </c>
      <c r="I124" s="4" t="s">
        <v>24</v>
      </c>
      <c r="J124" s="4" t="str">
        <f>"(P) 330-473-5591 (M) 330-763-3097"</f>
        <v>(P) 330-473-5591 (M) 330-763-3097</v>
      </c>
      <c r="K124" s="4"/>
      <c r="L124" s="4" t="s">
        <v>25</v>
      </c>
      <c r="M124" s="4" t="s">
        <v>1165</v>
      </c>
      <c r="N124" s="4" t="s">
        <v>40</v>
      </c>
      <c r="O124" s="4" t="s">
        <v>23</v>
      </c>
      <c r="P124" s="4" t="str">
        <f>"44654"</f>
        <v>44654</v>
      </c>
      <c r="Q124" s="4" t="s">
        <v>24</v>
      </c>
      <c r="R124" s="6">
        <v>44196</v>
      </c>
      <c r="S124" s="4" t="s">
        <v>46</v>
      </c>
    </row>
    <row r="125" spans="1:19" s="3" customFormat="1" ht="43.2" x14ac:dyDescent="0.3">
      <c r="A125" s="4" t="str">
        <f>"CB00296C"</f>
        <v>CB00296C</v>
      </c>
      <c r="B125" s="4" t="s">
        <v>1311</v>
      </c>
      <c r="C125" s="4" t="s">
        <v>1312</v>
      </c>
      <c r="D125" s="4" t="s">
        <v>20</v>
      </c>
      <c r="E125" s="4" t="s">
        <v>1313</v>
      </c>
      <c r="F125" s="4" t="s">
        <v>40</v>
      </c>
      <c r="G125" s="4" t="s">
        <v>23</v>
      </c>
      <c r="H125" s="4" t="str">
        <f>"44654"</f>
        <v>44654</v>
      </c>
      <c r="I125" s="4" t="s">
        <v>24</v>
      </c>
      <c r="J125" s="4" t="str">
        <f>"(P) 330-275-4625 (M) 330-231-2179"</f>
        <v>(P) 330-275-4625 (M) 330-231-2179</v>
      </c>
      <c r="K125" s="4" t="s">
        <v>1314</v>
      </c>
      <c r="L125" s="4" t="s">
        <v>906</v>
      </c>
      <c r="M125" s="4" t="s">
        <v>1313</v>
      </c>
      <c r="N125" s="4" t="s">
        <v>40</v>
      </c>
      <c r="O125" s="4" t="s">
        <v>23</v>
      </c>
      <c r="P125" s="4" t="str">
        <f>"44654"</f>
        <v>44654</v>
      </c>
      <c r="Q125" s="4" t="s">
        <v>24</v>
      </c>
      <c r="R125" s="6">
        <v>44196</v>
      </c>
      <c r="S125" s="4" t="s">
        <v>46</v>
      </c>
    </row>
    <row r="126" spans="1:19" s="3" customFormat="1" ht="43.2" x14ac:dyDescent="0.3">
      <c r="A126" s="4" t="str">
        <f>"CB00022V"</f>
        <v>CB00022V</v>
      </c>
      <c r="B126" s="4" t="s">
        <v>149</v>
      </c>
      <c r="C126" s="4" t="s">
        <v>150</v>
      </c>
      <c r="D126" s="4" t="s">
        <v>43</v>
      </c>
      <c r="E126" s="4" t="s">
        <v>151</v>
      </c>
      <c r="F126" s="4" t="s">
        <v>40</v>
      </c>
      <c r="G126" s="4" t="s">
        <v>23</v>
      </c>
      <c r="H126" s="4" t="str">
        <f>"44654"</f>
        <v>44654</v>
      </c>
      <c r="I126" s="4" t="s">
        <v>24</v>
      </c>
      <c r="J126" s="4" t="str">
        <f>"(P) 330-600-9655 (P) 330-674-1416"</f>
        <v>(P) 330-600-9655 (P) 330-674-1416</v>
      </c>
      <c r="K126" s="4"/>
      <c r="L126" s="4" t="s">
        <v>268</v>
      </c>
      <c r="M126" s="4" t="s">
        <v>151</v>
      </c>
      <c r="N126" s="4" t="s">
        <v>40</v>
      </c>
      <c r="O126" s="4" t="s">
        <v>23</v>
      </c>
      <c r="P126" s="4" t="str">
        <f>"44654"</f>
        <v>44654</v>
      </c>
      <c r="Q126" s="4" t="s">
        <v>24</v>
      </c>
      <c r="R126" s="6">
        <v>44196</v>
      </c>
      <c r="S126" s="4" t="s">
        <v>72</v>
      </c>
    </row>
    <row r="127" spans="1:19" s="3" customFormat="1" ht="43.2" x14ac:dyDescent="0.3">
      <c r="A127" s="4" t="str">
        <f>"CB00042M"</f>
        <v>CB00042M</v>
      </c>
      <c r="B127" s="4" t="s">
        <v>256</v>
      </c>
      <c r="C127" s="4" t="s">
        <v>257</v>
      </c>
      <c r="D127" s="4" t="s">
        <v>93</v>
      </c>
      <c r="E127" s="4" t="s">
        <v>258</v>
      </c>
      <c r="F127" s="4" t="s">
        <v>74</v>
      </c>
      <c r="G127" s="4" t="s">
        <v>23</v>
      </c>
      <c r="H127" s="4" t="str">
        <f>"44681"</f>
        <v>44681</v>
      </c>
      <c r="I127" s="4" t="s">
        <v>24</v>
      </c>
      <c r="J127" s="4" t="str">
        <f>"(P) 330-893-4901 (F) 330-893-0536"</f>
        <v>(P) 330-893-4901 (F) 330-893-0536</v>
      </c>
      <c r="K127" s="4"/>
      <c r="L127" s="4" t="s">
        <v>376</v>
      </c>
      <c r="M127" s="4" t="s">
        <v>258</v>
      </c>
      <c r="N127" s="4" t="s">
        <v>74</v>
      </c>
      <c r="O127" s="4" t="s">
        <v>23</v>
      </c>
      <c r="P127" s="4" t="str">
        <f>"44681"</f>
        <v>44681</v>
      </c>
      <c r="Q127" s="4" t="s">
        <v>24</v>
      </c>
      <c r="R127" s="6">
        <v>44196</v>
      </c>
      <c r="S127" s="4" t="s">
        <v>46</v>
      </c>
    </row>
    <row r="128" spans="1:19" s="3" customFormat="1" ht="43.2" x14ac:dyDescent="0.3">
      <c r="A128" s="4" t="str">
        <f>"CB0028B6"</f>
        <v>CB0028B6</v>
      </c>
      <c r="B128" s="4"/>
      <c r="C128" s="4" t="s">
        <v>1292</v>
      </c>
      <c r="D128" s="4" t="s">
        <v>539</v>
      </c>
      <c r="E128" s="4" t="s">
        <v>1293</v>
      </c>
      <c r="F128" s="4" t="s">
        <v>111</v>
      </c>
      <c r="G128" s="4" t="s">
        <v>23</v>
      </c>
      <c r="H128" s="4" t="str">
        <f>"44627"</f>
        <v>44627</v>
      </c>
      <c r="I128" s="4" t="s">
        <v>52</v>
      </c>
      <c r="J128" s="4" t="str">
        <f>"(P) 330-231-1010"</f>
        <v>(P) 330-231-1010</v>
      </c>
      <c r="K128" s="4"/>
      <c r="L128" s="4" t="s">
        <v>1160</v>
      </c>
      <c r="M128" s="4" t="s">
        <v>1293</v>
      </c>
      <c r="N128" s="4" t="s">
        <v>111</v>
      </c>
      <c r="O128" s="4" t="s">
        <v>23</v>
      </c>
      <c r="P128" s="4" t="str">
        <f>"44627"</f>
        <v>44627</v>
      </c>
      <c r="Q128" s="4" t="s">
        <v>52</v>
      </c>
      <c r="R128" s="6">
        <v>44196</v>
      </c>
      <c r="S128" s="4" t="s">
        <v>46</v>
      </c>
    </row>
    <row r="129" spans="1:19" s="3" customFormat="1" ht="43.2" x14ac:dyDescent="0.3">
      <c r="A129" s="4" t="str">
        <f>"CB00289A"</f>
        <v>CB00289A</v>
      </c>
      <c r="B129" s="4" t="s">
        <v>1285</v>
      </c>
      <c r="C129" s="4" t="s">
        <v>1286</v>
      </c>
      <c r="D129" s="4" t="s">
        <v>1287</v>
      </c>
      <c r="E129" s="4" t="s">
        <v>1288</v>
      </c>
      <c r="F129" s="4" t="s">
        <v>1289</v>
      </c>
      <c r="G129" s="4" t="s">
        <v>23</v>
      </c>
      <c r="H129" s="4" t="str">
        <f>"45898"</f>
        <v>45898</v>
      </c>
      <c r="I129" s="4" t="s">
        <v>1290</v>
      </c>
      <c r="J129" s="4" t="str">
        <f>"(M) 567-204-5373"</f>
        <v>(M) 567-204-5373</v>
      </c>
      <c r="K129" s="4"/>
      <c r="L129" s="4" t="s">
        <v>137</v>
      </c>
      <c r="M129" s="4" t="s">
        <v>1288</v>
      </c>
      <c r="N129" s="4" t="s">
        <v>1289</v>
      </c>
      <c r="O129" s="4" t="s">
        <v>23</v>
      </c>
      <c r="P129" s="4" t="str">
        <f>"45898"</f>
        <v>45898</v>
      </c>
      <c r="Q129" s="4" t="s">
        <v>1290</v>
      </c>
      <c r="R129" s="6">
        <v>44196</v>
      </c>
      <c r="S129" s="4" t="s">
        <v>35</v>
      </c>
    </row>
    <row r="130" spans="1:19" s="3" customFormat="1" ht="43.2" x14ac:dyDescent="0.3">
      <c r="A130" s="4" t="str">
        <f>"CB001DUU"</f>
        <v>CB001DUU</v>
      </c>
      <c r="B130" s="4"/>
      <c r="C130" s="4" t="s">
        <v>886</v>
      </c>
      <c r="D130" s="4" t="s">
        <v>43</v>
      </c>
      <c r="E130" s="4" t="s">
        <v>887</v>
      </c>
      <c r="F130" s="4" t="s">
        <v>22</v>
      </c>
      <c r="G130" s="4" t="s">
        <v>23</v>
      </c>
      <c r="H130" s="4" t="str">
        <f>"43804"</f>
        <v>43804</v>
      </c>
      <c r="I130" s="4" t="s">
        <v>24</v>
      </c>
      <c r="J130" s="4" t="str">
        <f>"(M) 330-231-4014"</f>
        <v>(M) 330-231-4014</v>
      </c>
      <c r="K130" s="4"/>
      <c r="L130" s="4" t="s">
        <v>739</v>
      </c>
      <c r="M130" s="4" t="s">
        <v>887</v>
      </c>
      <c r="N130" s="4" t="s">
        <v>22</v>
      </c>
      <c r="O130" s="4" t="s">
        <v>23</v>
      </c>
      <c r="P130" s="4" t="str">
        <f>"43804"</f>
        <v>43804</v>
      </c>
      <c r="Q130" s="4" t="s">
        <v>24</v>
      </c>
      <c r="R130" s="6">
        <v>44196</v>
      </c>
      <c r="S130" s="4" t="s">
        <v>46</v>
      </c>
    </row>
    <row r="131" spans="1:19" s="3" customFormat="1" ht="43.2" x14ac:dyDescent="0.3">
      <c r="A131" s="4" t="str">
        <f>"CB001VFM"</f>
        <v>CB001VFM</v>
      </c>
      <c r="B131" s="4"/>
      <c r="C131" s="4" t="s">
        <v>886</v>
      </c>
      <c r="D131" s="4" t="s">
        <v>20</v>
      </c>
      <c r="E131" s="4" t="s">
        <v>1199</v>
      </c>
      <c r="F131" s="4" t="s">
        <v>40</v>
      </c>
      <c r="G131" s="4" t="s">
        <v>23</v>
      </c>
      <c r="H131" s="4" t="str">
        <f>"44654"</f>
        <v>44654</v>
      </c>
      <c r="I131" s="4" t="s">
        <v>24</v>
      </c>
      <c r="J131" s="4" t="str">
        <f>"(P) 330-674-2029"</f>
        <v>(P) 330-674-2029</v>
      </c>
      <c r="K131" s="4"/>
      <c r="L131" s="4" t="s">
        <v>1166</v>
      </c>
      <c r="M131" s="4" t="s">
        <v>1199</v>
      </c>
      <c r="N131" s="4" t="s">
        <v>40</v>
      </c>
      <c r="O131" s="4" t="s">
        <v>23</v>
      </c>
      <c r="P131" s="4" t="str">
        <f>"44654"</f>
        <v>44654</v>
      </c>
      <c r="Q131" s="4" t="s">
        <v>24</v>
      </c>
      <c r="R131" s="6">
        <v>44196</v>
      </c>
      <c r="S131" s="4" t="s">
        <v>46</v>
      </c>
    </row>
    <row r="132" spans="1:19" s="3" customFormat="1" ht="43.2" x14ac:dyDescent="0.3">
      <c r="A132" s="4" t="str">
        <f>"CB0001SJ"</f>
        <v>CB0001SJ</v>
      </c>
      <c r="B132" s="4"/>
      <c r="C132" s="4" t="s">
        <v>131</v>
      </c>
      <c r="D132" s="4" t="s">
        <v>132</v>
      </c>
      <c r="E132" s="4" t="s">
        <v>133</v>
      </c>
      <c r="F132" s="4" t="s">
        <v>99</v>
      </c>
      <c r="G132" s="4" t="s">
        <v>23</v>
      </c>
      <c r="H132" s="4" t="str">
        <f>"43824"</f>
        <v>43824</v>
      </c>
      <c r="I132" s="4" t="s">
        <v>134</v>
      </c>
      <c r="J132" s="4" t="str">
        <f>"(P) 330-897-0029 (P) 330-260-1168"</f>
        <v>(P) 330-897-0029 (P) 330-260-1168</v>
      </c>
      <c r="K132" s="4"/>
      <c r="L132" s="4" t="s">
        <v>1315</v>
      </c>
      <c r="M132" s="4" t="s">
        <v>133</v>
      </c>
      <c r="N132" s="4" t="s">
        <v>99</v>
      </c>
      <c r="O132" s="4" t="s">
        <v>23</v>
      </c>
      <c r="P132" s="4" t="str">
        <f>"43824"</f>
        <v>43824</v>
      </c>
      <c r="Q132" s="4" t="s">
        <v>134</v>
      </c>
      <c r="R132" s="6">
        <v>44196</v>
      </c>
      <c r="S132" s="4" t="s">
        <v>46</v>
      </c>
    </row>
    <row r="133" spans="1:19" s="3" customFormat="1" ht="43.2" x14ac:dyDescent="0.3">
      <c r="A133" s="4" t="str">
        <f>"CB0007N4"</f>
        <v>CB0007N4</v>
      </c>
      <c r="B133" s="4" t="s">
        <v>410</v>
      </c>
      <c r="C133" s="4" t="s">
        <v>131</v>
      </c>
      <c r="D133" s="4" t="s">
        <v>43</v>
      </c>
      <c r="E133" s="4" t="s">
        <v>411</v>
      </c>
      <c r="F133" s="4" t="s">
        <v>22</v>
      </c>
      <c r="G133" s="4" t="s">
        <v>23</v>
      </c>
      <c r="H133" s="4" t="str">
        <f>"43804"</f>
        <v>43804</v>
      </c>
      <c r="I133" s="4" t="s">
        <v>24</v>
      </c>
      <c r="J133" s="4" t="str">
        <f>"(P) 330-324-8496"</f>
        <v>(P) 330-324-8496</v>
      </c>
      <c r="K133" s="4"/>
      <c r="L133" s="4" t="s">
        <v>501</v>
      </c>
      <c r="M133" s="4" t="s">
        <v>411</v>
      </c>
      <c r="N133" s="4" t="s">
        <v>22</v>
      </c>
      <c r="O133" s="4" t="s">
        <v>23</v>
      </c>
      <c r="P133" s="4" t="str">
        <f>"43804"</f>
        <v>43804</v>
      </c>
      <c r="Q133" s="4" t="s">
        <v>24</v>
      </c>
      <c r="R133" s="6">
        <v>44196</v>
      </c>
      <c r="S133" s="4" t="s">
        <v>46</v>
      </c>
    </row>
    <row r="134" spans="1:19" s="3" customFormat="1" ht="43.2" x14ac:dyDescent="0.3">
      <c r="A134" s="4" t="str">
        <f>"CB0016XF"</f>
        <v>CB0016XF</v>
      </c>
      <c r="B134" s="4"/>
      <c r="C134" s="4" t="s">
        <v>131</v>
      </c>
      <c r="D134" s="4" t="s">
        <v>502</v>
      </c>
      <c r="E134" s="4" t="s">
        <v>753</v>
      </c>
      <c r="F134" s="4" t="s">
        <v>608</v>
      </c>
      <c r="G134" s="4" t="s">
        <v>23</v>
      </c>
      <c r="H134" s="4" t="str">
        <f>"44633"</f>
        <v>44633</v>
      </c>
      <c r="I134" s="4" t="s">
        <v>24</v>
      </c>
      <c r="J134" s="4" t="str">
        <f>"(M) 330-279-9252"</f>
        <v>(M) 330-279-9252</v>
      </c>
      <c r="K134" s="4"/>
      <c r="L134" s="4" t="s">
        <v>1200</v>
      </c>
      <c r="M134" s="4" t="s">
        <v>755</v>
      </c>
      <c r="N134" s="4" t="s">
        <v>608</v>
      </c>
      <c r="O134" s="4" t="s">
        <v>23</v>
      </c>
      <c r="P134" s="4" t="str">
        <f>"44633"</f>
        <v>44633</v>
      </c>
      <c r="Q134" s="4" t="s">
        <v>24</v>
      </c>
      <c r="R134" s="6">
        <v>44196</v>
      </c>
      <c r="S134" s="4" t="s">
        <v>76</v>
      </c>
    </row>
    <row r="135" spans="1:19" s="3" customFormat="1" ht="43.2" x14ac:dyDescent="0.3">
      <c r="A135" s="4" t="str">
        <f>"CB001L2F"</f>
        <v>CB001L2F</v>
      </c>
      <c r="B135" s="4" t="s">
        <v>974</v>
      </c>
      <c r="C135" s="4" t="s">
        <v>131</v>
      </c>
      <c r="D135" s="4" t="s">
        <v>43</v>
      </c>
      <c r="E135" s="4" t="s">
        <v>975</v>
      </c>
      <c r="F135" s="4" t="s">
        <v>22</v>
      </c>
      <c r="G135" s="4" t="s">
        <v>23</v>
      </c>
      <c r="H135" s="4" t="str">
        <f>"43804"</f>
        <v>43804</v>
      </c>
      <c r="I135" s="4" t="s">
        <v>24</v>
      </c>
      <c r="J135" s="4" t="str">
        <f>"(P) 330-897-2711 (F) 330-897-2874"</f>
        <v>(P) 330-897-2711 (F) 330-897-2874</v>
      </c>
      <c r="K135" s="4"/>
      <c r="L135" s="4" t="s">
        <v>1300</v>
      </c>
      <c r="M135" s="4" t="s">
        <v>975</v>
      </c>
      <c r="N135" s="4" t="s">
        <v>22</v>
      </c>
      <c r="O135" s="4" t="s">
        <v>23</v>
      </c>
      <c r="P135" s="4" t="str">
        <f>"43804"</f>
        <v>43804</v>
      </c>
      <c r="Q135" s="4" t="s">
        <v>24</v>
      </c>
      <c r="R135" s="6">
        <v>44196</v>
      </c>
      <c r="S135" s="4" t="s">
        <v>35</v>
      </c>
    </row>
    <row r="136" spans="1:19" s="3" customFormat="1" ht="43.2" x14ac:dyDescent="0.3">
      <c r="A136" s="4" t="str">
        <f>"CB001PWF"</f>
        <v>CB001PWF</v>
      </c>
      <c r="B136" s="4"/>
      <c r="C136" s="4" t="s">
        <v>131</v>
      </c>
      <c r="D136" s="4" t="s">
        <v>38</v>
      </c>
      <c r="E136" s="4" t="s">
        <v>1092</v>
      </c>
      <c r="F136" s="4" t="s">
        <v>74</v>
      </c>
      <c r="G136" s="4" t="s">
        <v>23</v>
      </c>
      <c r="H136" s="4" t="str">
        <f>"44681"</f>
        <v>44681</v>
      </c>
      <c r="I136" s="4" t="s">
        <v>24</v>
      </c>
      <c r="J136" s="4" t="str">
        <f>"(P) 330-893-9943"</f>
        <v>(P) 330-893-9943</v>
      </c>
      <c r="K136" s="4"/>
      <c r="L136" s="4" t="s">
        <v>1422</v>
      </c>
      <c r="M136" s="4" t="s">
        <v>1094</v>
      </c>
      <c r="N136" s="4" t="s">
        <v>74</v>
      </c>
      <c r="O136" s="4" t="s">
        <v>23</v>
      </c>
      <c r="P136" s="4" t="str">
        <f>"44681"</f>
        <v>44681</v>
      </c>
      <c r="Q136" s="4" t="s">
        <v>24</v>
      </c>
      <c r="R136" s="6">
        <v>44196</v>
      </c>
      <c r="S136" s="4" t="s">
        <v>35</v>
      </c>
    </row>
    <row r="137" spans="1:19" s="3" customFormat="1" ht="43.2" x14ac:dyDescent="0.3">
      <c r="A137" s="4" t="str">
        <f>"CB0020PE"</f>
        <v>CB0020PE</v>
      </c>
      <c r="B137" s="4" t="s">
        <v>1228</v>
      </c>
      <c r="C137" s="4" t="s">
        <v>131</v>
      </c>
      <c r="D137" s="4" t="s">
        <v>546</v>
      </c>
      <c r="E137" s="4" t="s">
        <v>1229</v>
      </c>
      <c r="F137" s="4" t="s">
        <v>22</v>
      </c>
      <c r="G137" s="4" t="s">
        <v>23</v>
      </c>
      <c r="H137" s="4" t="str">
        <f>"43804"</f>
        <v>43804</v>
      </c>
      <c r="I137" s="4" t="s">
        <v>24</v>
      </c>
      <c r="J137" s="4" t="str">
        <f>"(P) 330-893-3462"</f>
        <v>(P) 330-893-3462</v>
      </c>
      <c r="K137" s="4"/>
      <c r="L137" s="4" t="s">
        <v>715</v>
      </c>
      <c r="M137" s="4" t="s">
        <v>1229</v>
      </c>
      <c r="N137" s="4" t="s">
        <v>22</v>
      </c>
      <c r="O137" s="4" t="s">
        <v>23</v>
      </c>
      <c r="P137" s="4" t="str">
        <f>"43804"</f>
        <v>43804</v>
      </c>
      <c r="Q137" s="4" t="s">
        <v>24</v>
      </c>
      <c r="R137" s="6">
        <v>44196</v>
      </c>
      <c r="S137" s="4" t="s">
        <v>35</v>
      </c>
    </row>
    <row r="138" spans="1:19" s="3" customFormat="1" ht="43.2" x14ac:dyDescent="0.3">
      <c r="A138" s="4" t="str">
        <f>"CB0028NH"</f>
        <v>CB0028NH</v>
      </c>
      <c r="B138" s="4" t="s">
        <v>1298</v>
      </c>
      <c r="C138" s="4" t="s">
        <v>131</v>
      </c>
      <c r="D138" s="4" t="s">
        <v>20</v>
      </c>
      <c r="E138" s="4" t="s">
        <v>1299</v>
      </c>
      <c r="F138" s="4" t="s">
        <v>99</v>
      </c>
      <c r="G138" s="4" t="s">
        <v>23</v>
      </c>
      <c r="H138" s="4" t="str">
        <f>"43824"</f>
        <v>43824</v>
      </c>
      <c r="I138" s="4" t="s">
        <v>134</v>
      </c>
      <c r="J138" s="4" t="str">
        <f>"(F) 330-897-2044 (M) 330-897-0449"</f>
        <v>(F) 330-897-2044 (M) 330-897-0449</v>
      </c>
      <c r="K138" s="4"/>
      <c r="L138" s="4" t="s">
        <v>670</v>
      </c>
      <c r="M138" s="4" t="s">
        <v>1299</v>
      </c>
      <c r="N138" s="4" t="s">
        <v>99</v>
      </c>
      <c r="O138" s="4" t="s">
        <v>23</v>
      </c>
      <c r="P138" s="4" t="str">
        <f>"43824"</f>
        <v>43824</v>
      </c>
      <c r="Q138" s="4" t="s">
        <v>134</v>
      </c>
      <c r="R138" s="6">
        <v>44196</v>
      </c>
      <c r="S138" s="4" t="s">
        <v>46</v>
      </c>
    </row>
    <row r="139" spans="1:19" s="3" customFormat="1" ht="43.2" x14ac:dyDescent="0.3">
      <c r="A139" s="4" t="str">
        <f>"CB0029FT"</f>
        <v>CB0029FT</v>
      </c>
      <c r="B139" s="4"/>
      <c r="C139" s="4" t="s">
        <v>131</v>
      </c>
      <c r="D139" s="4" t="s">
        <v>43</v>
      </c>
      <c r="E139" s="4" t="s">
        <v>1322</v>
      </c>
      <c r="F139" s="4" t="s">
        <v>40</v>
      </c>
      <c r="G139" s="4" t="s">
        <v>23</v>
      </c>
      <c r="H139" s="4" t="str">
        <f>"44654"</f>
        <v>44654</v>
      </c>
      <c r="I139" s="4" t="s">
        <v>134</v>
      </c>
      <c r="J139" s="4" t="str">
        <f>"(M) 740-575-6777"</f>
        <v>(M) 740-575-6777</v>
      </c>
      <c r="K139" s="4"/>
      <c r="L139" s="4" t="s">
        <v>856</v>
      </c>
      <c r="M139" s="4" t="s">
        <v>1322</v>
      </c>
      <c r="N139" s="4" t="s">
        <v>40</v>
      </c>
      <c r="O139" s="4" t="s">
        <v>23</v>
      </c>
      <c r="P139" s="4" t="str">
        <f>"44654"</f>
        <v>44654</v>
      </c>
      <c r="Q139" s="4" t="s">
        <v>134</v>
      </c>
      <c r="R139" s="6">
        <v>44196</v>
      </c>
      <c r="S139" s="4" t="s">
        <v>46</v>
      </c>
    </row>
    <row r="140" spans="1:19" s="3" customFormat="1" ht="43.2" x14ac:dyDescent="0.3">
      <c r="A140" s="4" t="str">
        <f>"CB002AMB"</f>
        <v>CB002AMB</v>
      </c>
      <c r="B140" s="4" t="s">
        <v>1331</v>
      </c>
      <c r="C140" s="4" t="s">
        <v>131</v>
      </c>
      <c r="D140" s="4" t="s">
        <v>55</v>
      </c>
      <c r="E140" s="4" t="s">
        <v>1332</v>
      </c>
      <c r="F140" s="4" t="s">
        <v>111</v>
      </c>
      <c r="G140" s="4" t="s">
        <v>23</v>
      </c>
      <c r="H140" s="4" t="str">
        <f>"44627"</f>
        <v>44627</v>
      </c>
      <c r="I140" s="4" t="s">
        <v>52</v>
      </c>
      <c r="J140" s="4" t="str">
        <f>"(P) 330-600-9404 (P) 330-695-2309"</f>
        <v>(P) 330-600-9404 (P) 330-695-2309</v>
      </c>
      <c r="K140" s="4"/>
      <c r="L140" s="4" t="s">
        <v>432</v>
      </c>
      <c r="M140" s="4" t="s">
        <v>1332</v>
      </c>
      <c r="N140" s="4" t="s">
        <v>111</v>
      </c>
      <c r="O140" s="4" t="s">
        <v>23</v>
      </c>
      <c r="P140" s="4" t="str">
        <f>"44627"</f>
        <v>44627</v>
      </c>
      <c r="Q140" s="4" t="s">
        <v>52</v>
      </c>
      <c r="R140" s="6">
        <v>44196</v>
      </c>
      <c r="S140" s="4" t="s">
        <v>46</v>
      </c>
    </row>
    <row r="141" spans="1:19" s="3" customFormat="1" ht="43.2" x14ac:dyDescent="0.3">
      <c r="A141" s="4" t="str">
        <f>"CB002AVW"</f>
        <v>CB002AVW</v>
      </c>
      <c r="B141" s="4"/>
      <c r="C141" s="4" t="s">
        <v>131</v>
      </c>
      <c r="D141" s="4" t="s">
        <v>55</v>
      </c>
      <c r="E141" s="4" t="s">
        <v>1352</v>
      </c>
      <c r="F141" s="4" t="s">
        <v>74</v>
      </c>
      <c r="G141" s="4" t="s">
        <v>23</v>
      </c>
      <c r="H141" s="4" t="str">
        <f>"44681"</f>
        <v>44681</v>
      </c>
      <c r="I141" s="4" t="s">
        <v>66</v>
      </c>
      <c r="J141" s="4" t="str">
        <f>"(P) 330-852-3620"</f>
        <v>(P) 330-852-3620</v>
      </c>
      <c r="K141" s="4"/>
      <c r="L141" s="4" t="s">
        <v>497</v>
      </c>
      <c r="M141" s="4" t="s">
        <v>1352</v>
      </c>
      <c r="N141" s="4" t="s">
        <v>74</v>
      </c>
      <c r="O141" s="4" t="s">
        <v>23</v>
      </c>
      <c r="P141" s="4" t="str">
        <f>"44681"</f>
        <v>44681</v>
      </c>
      <c r="Q141" s="4" t="s">
        <v>66</v>
      </c>
      <c r="R141" s="6">
        <v>44196</v>
      </c>
      <c r="S141" s="4" t="s">
        <v>35</v>
      </c>
    </row>
    <row r="142" spans="1:19" s="3" customFormat="1" ht="43.2" x14ac:dyDescent="0.3">
      <c r="A142" s="4" t="str">
        <f>"CB00061F"</f>
        <v>CB00061F</v>
      </c>
      <c r="B142" s="4"/>
      <c r="C142" s="4" t="s">
        <v>367</v>
      </c>
      <c r="D142" s="4" t="s">
        <v>49</v>
      </c>
      <c r="E142" s="4" t="s">
        <v>368</v>
      </c>
      <c r="F142" s="4" t="s">
        <v>99</v>
      </c>
      <c r="G142" s="4" t="s">
        <v>23</v>
      </c>
      <c r="H142" s="4" t="str">
        <f>"43824"</f>
        <v>43824</v>
      </c>
      <c r="I142" s="4" t="s">
        <v>134</v>
      </c>
      <c r="J142" s="4" t="str">
        <f>"(P) 330-897-0629 (M) 330-407-6338"</f>
        <v>(P) 330-897-0629 (M) 330-407-6338</v>
      </c>
      <c r="K142" s="4"/>
      <c r="L142" s="4" t="s">
        <v>1431</v>
      </c>
      <c r="M142" s="4" t="s">
        <v>368</v>
      </c>
      <c r="N142" s="4" t="s">
        <v>99</v>
      </c>
      <c r="O142" s="4" t="s">
        <v>23</v>
      </c>
      <c r="P142" s="4" t="str">
        <f>"43824"</f>
        <v>43824</v>
      </c>
      <c r="Q142" s="4" t="s">
        <v>134</v>
      </c>
      <c r="R142" s="6">
        <v>44196</v>
      </c>
      <c r="S142" s="4" t="s">
        <v>26</v>
      </c>
    </row>
    <row r="143" spans="1:19" s="3" customFormat="1" ht="43.2" x14ac:dyDescent="0.3">
      <c r="A143" s="4" t="str">
        <f>"CB001WGF"</f>
        <v>CB001WGF</v>
      </c>
      <c r="B143" s="4"/>
      <c r="C143" s="4" t="s">
        <v>1210</v>
      </c>
      <c r="D143" s="4" t="s">
        <v>1211</v>
      </c>
      <c r="E143" s="4" t="s">
        <v>1212</v>
      </c>
      <c r="F143" s="4" t="s">
        <v>1213</v>
      </c>
      <c r="G143" s="4" t="s">
        <v>23</v>
      </c>
      <c r="H143" s="4" t="str">
        <f>"45869"</f>
        <v>45869</v>
      </c>
      <c r="I143" s="4" t="s">
        <v>1214</v>
      </c>
      <c r="J143" s="4" t="str">
        <f>"(P) 419-629-3830 (M) 419-233-6165"</f>
        <v>(P) 419-629-3830 (M) 419-233-6165</v>
      </c>
      <c r="K143" s="4"/>
      <c r="L143" s="4" t="s">
        <v>1106</v>
      </c>
      <c r="M143" s="4" t="s">
        <v>1212</v>
      </c>
      <c r="N143" s="4" t="s">
        <v>1213</v>
      </c>
      <c r="O143" s="4" t="s">
        <v>23</v>
      </c>
      <c r="P143" s="4" t="str">
        <f>"45869"</f>
        <v>45869</v>
      </c>
      <c r="Q143" s="4" t="s">
        <v>1214</v>
      </c>
      <c r="R143" s="6">
        <v>44196</v>
      </c>
      <c r="S143" s="4" t="s">
        <v>46</v>
      </c>
    </row>
    <row r="144" spans="1:19" s="3" customFormat="1" ht="57.6" x14ac:dyDescent="0.3">
      <c r="A144" s="4" t="str">
        <f>"CB0002G1"</f>
        <v>CB0002G1</v>
      </c>
      <c r="B144" s="4" t="s">
        <v>156</v>
      </c>
      <c r="C144" s="4" t="s">
        <v>157</v>
      </c>
      <c r="D144" s="4" t="s">
        <v>43</v>
      </c>
      <c r="E144" s="4" t="s">
        <v>158</v>
      </c>
      <c r="F144" s="4" t="s">
        <v>99</v>
      </c>
      <c r="G144" s="4" t="s">
        <v>23</v>
      </c>
      <c r="H144" s="4" t="str">
        <f>"43824"</f>
        <v>43824</v>
      </c>
      <c r="I144" s="4" t="s">
        <v>134</v>
      </c>
      <c r="J144" s="4" t="str">
        <f>"(P) 740-545-5047 (F) 740-879-2464 (M) 330-275-7623"</f>
        <v>(P) 740-545-5047 (F) 740-879-2464 (M) 330-275-7623</v>
      </c>
      <c r="K144" s="4" t="s">
        <v>159</v>
      </c>
      <c r="L144" s="4" t="s">
        <v>1113</v>
      </c>
      <c r="M144" s="4" t="s">
        <v>158</v>
      </c>
      <c r="N144" s="4" t="s">
        <v>99</v>
      </c>
      <c r="O144" s="4" t="s">
        <v>23</v>
      </c>
      <c r="P144" s="4" t="str">
        <f>"43824"</f>
        <v>43824</v>
      </c>
      <c r="Q144" s="4" t="s">
        <v>134</v>
      </c>
      <c r="R144" s="6">
        <v>44196</v>
      </c>
      <c r="S144" s="4" t="s">
        <v>76</v>
      </c>
    </row>
    <row r="145" spans="1:19" s="3" customFormat="1" ht="43.2" x14ac:dyDescent="0.3">
      <c r="A145" s="4" t="str">
        <f>"CB0000L0"</f>
        <v>CB0000L0</v>
      </c>
      <c r="B145" s="4" t="s">
        <v>68</v>
      </c>
      <c r="C145" s="4" t="s">
        <v>69</v>
      </c>
      <c r="D145" s="4" t="s">
        <v>43</v>
      </c>
      <c r="E145" s="4" t="s">
        <v>70</v>
      </c>
      <c r="F145" s="4" t="s">
        <v>40</v>
      </c>
      <c r="G145" s="4" t="s">
        <v>23</v>
      </c>
      <c r="H145" s="4" t="str">
        <f>"44654"</f>
        <v>44654</v>
      </c>
      <c r="I145" s="4" t="s">
        <v>24</v>
      </c>
      <c r="J145" s="4" t="str">
        <f>"(P) 330-893-3186 (M) 330-275-0714"</f>
        <v>(P) 330-893-3186 (M) 330-275-0714</v>
      </c>
      <c r="K145" s="4"/>
      <c r="L145" s="4" t="s">
        <v>1050</v>
      </c>
      <c r="M145" s="4" t="s">
        <v>70</v>
      </c>
      <c r="N145" s="4" t="s">
        <v>40</v>
      </c>
      <c r="O145" s="4" t="s">
        <v>23</v>
      </c>
      <c r="P145" s="4" t="str">
        <f>"44654"</f>
        <v>44654</v>
      </c>
      <c r="Q145" s="4" t="s">
        <v>24</v>
      </c>
      <c r="R145" s="6">
        <v>44196</v>
      </c>
      <c r="S145" s="4" t="s">
        <v>72</v>
      </c>
    </row>
    <row r="146" spans="1:19" s="3" customFormat="1" ht="43.2" x14ac:dyDescent="0.3">
      <c r="A146" s="4" t="str">
        <f>"CB0003U8"</f>
        <v>CB0003U8</v>
      </c>
      <c r="B146" s="4" t="s">
        <v>245</v>
      </c>
      <c r="C146" s="4" t="s">
        <v>69</v>
      </c>
      <c r="D146" s="4" t="s">
        <v>59</v>
      </c>
      <c r="E146" s="4" t="s">
        <v>246</v>
      </c>
      <c r="F146" s="4" t="s">
        <v>22</v>
      </c>
      <c r="G146" s="4" t="s">
        <v>23</v>
      </c>
      <c r="H146" s="4" t="str">
        <f>"43804"</f>
        <v>43804</v>
      </c>
      <c r="I146" s="4" t="s">
        <v>24</v>
      </c>
      <c r="J146" s="4" t="str">
        <f>"(P) 330-674-1314"</f>
        <v>(P) 330-674-1314</v>
      </c>
      <c r="K146" s="4"/>
      <c r="L146" s="4" t="s">
        <v>214</v>
      </c>
      <c r="M146" s="4" t="s">
        <v>246</v>
      </c>
      <c r="N146" s="4" t="s">
        <v>22</v>
      </c>
      <c r="O146" s="4" t="s">
        <v>23</v>
      </c>
      <c r="P146" s="4" t="str">
        <f>"43804"</f>
        <v>43804</v>
      </c>
      <c r="Q146" s="4" t="s">
        <v>24</v>
      </c>
      <c r="R146" s="6">
        <v>44196</v>
      </c>
      <c r="S146" s="4" t="s">
        <v>46</v>
      </c>
    </row>
    <row r="147" spans="1:19" s="3" customFormat="1" ht="43.2" x14ac:dyDescent="0.3">
      <c r="A147" s="4" t="str">
        <f>"CB0005GQ"</f>
        <v>CB0005GQ</v>
      </c>
      <c r="B147" s="4" t="s">
        <v>329</v>
      </c>
      <c r="C147" s="4" t="s">
        <v>69</v>
      </c>
      <c r="D147" s="4" t="s">
        <v>49</v>
      </c>
      <c r="E147" s="4" t="s">
        <v>330</v>
      </c>
      <c r="F147" s="4" t="s">
        <v>74</v>
      </c>
      <c r="G147" s="4" t="s">
        <v>23</v>
      </c>
      <c r="H147" s="4" t="str">
        <f>"44681"</f>
        <v>44681</v>
      </c>
      <c r="I147" s="4" t="s">
        <v>24</v>
      </c>
      <c r="J147" s="4" t="str">
        <f>"(M) 330-231-1233"</f>
        <v>(M) 330-231-1233</v>
      </c>
      <c r="K147" s="4"/>
      <c r="L147" s="4" t="s">
        <v>741</v>
      </c>
      <c r="M147" s="4" t="s">
        <v>330</v>
      </c>
      <c r="N147" s="4" t="s">
        <v>74</v>
      </c>
      <c r="O147" s="4" t="s">
        <v>23</v>
      </c>
      <c r="P147" s="4" t="str">
        <f>"44681"</f>
        <v>44681</v>
      </c>
      <c r="Q147" s="4" t="s">
        <v>24</v>
      </c>
      <c r="R147" s="6">
        <v>44196</v>
      </c>
      <c r="S147" s="4" t="s">
        <v>35</v>
      </c>
    </row>
    <row r="148" spans="1:19" s="3" customFormat="1" ht="43.2" x14ac:dyDescent="0.3">
      <c r="A148" s="4" t="str">
        <f>"CB000RYB"</f>
        <v>CB000RYB</v>
      </c>
      <c r="B148" s="4" t="s">
        <v>577</v>
      </c>
      <c r="C148" s="4" t="s">
        <v>69</v>
      </c>
      <c r="D148" s="4" t="s">
        <v>59</v>
      </c>
      <c r="E148" s="4" t="s">
        <v>578</v>
      </c>
      <c r="F148" s="4" t="s">
        <v>40</v>
      </c>
      <c r="G148" s="4" t="s">
        <v>23</v>
      </c>
      <c r="H148" s="4" t="str">
        <f>"44654"</f>
        <v>44654</v>
      </c>
      <c r="I148" s="4" t="s">
        <v>24</v>
      </c>
      <c r="J148" s="4" t="str">
        <f>"(M) 330-674-2449"</f>
        <v>(M) 330-674-2449</v>
      </c>
      <c r="K148" s="4"/>
      <c r="L148" s="4" t="s">
        <v>741</v>
      </c>
      <c r="M148" s="4" t="s">
        <v>578</v>
      </c>
      <c r="N148" s="4" t="s">
        <v>40</v>
      </c>
      <c r="O148" s="4" t="s">
        <v>23</v>
      </c>
      <c r="P148" s="4" t="str">
        <f>"44654"</f>
        <v>44654</v>
      </c>
      <c r="Q148" s="4" t="s">
        <v>24</v>
      </c>
      <c r="R148" s="6">
        <v>44196</v>
      </c>
      <c r="S148" s="4" t="s">
        <v>72</v>
      </c>
    </row>
    <row r="149" spans="1:19" s="3" customFormat="1" ht="43.2" x14ac:dyDescent="0.3">
      <c r="A149" s="4" t="str">
        <f>"CB0017K2"</f>
        <v>CB0017K2</v>
      </c>
      <c r="B149" s="4"/>
      <c r="C149" s="4" t="s">
        <v>69</v>
      </c>
      <c r="D149" s="4" t="s">
        <v>43</v>
      </c>
      <c r="E149" s="4" t="s">
        <v>769</v>
      </c>
      <c r="F149" s="4" t="s">
        <v>770</v>
      </c>
      <c r="G149" s="4" t="s">
        <v>23</v>
      </c>
      <c r="H149" s="4" t="str">
        <f>"43821"</f>
        <v>43821</v>
      </c>
      <c r="I149" s="4" t="s">
        <v>771</v>
      </c>
      <c r="J149" s="4" t="str">
        <f>"(P) 740-754-1281 (M) 740-704-0699"</f>
        <v>(P) 740-754-1281 (M) 740-704-0699</v>
      </c>
      <c r="K149" s="4"/>
      <c r="L149" s="4" t="s">
        <v>592</v>
      </c>
      <c r="M149" s="4" t="s">
        <v>769</v>
      </c>
      <c r="N149" s="4" t="s">
        <v>770</v>
      </c>
      <c r="O149" s="4" t="s">
        <v>23</v>
      </c>
      <c r="P149" s="4" t="str">
        <f>"43821"</f>
        <v>43821</v>
      </c>
      <c r="Q149" s="4" t="s">
        <v>771</v>
      </c>
      <c r="R149" s="6">
        <v>44196</v>
      </c>
      <c r="S149" s="4" t="s">
        <v>72</v>
      </c>
    </row>
    <row r="150" spans="1:19" s="3" customFormat="1" ht="43.2" x14ac:dyDescent="0.3">
      <c r="A150" s="4" t="str">
        <f>"CB001KWX"</f>
        <v>CB001KWX</v>
      </c>
      <c r="B150" s="4"/>
      <c r="C150" s="4" t="s">
        <v>69</v>
      </c>
      <c r="D150" s="4" t="s">
        <v>49</v>
      </c>
      <c r="E150" s="4" t="s">
        <v>967</v>
      </c>
      <c r="F150" s="4" t="s">
        <v>22</v>
      </c>
      <c r="G150" s="4" t="s">
        <v>23</v>
      </c>
      <c r="H150" s="4" t="str">
        <f>"43804"</f>
        <v>43804</v>
      </c>
      <c r="I150" s="4" t="s">
        <v>134</v>
      </c>
      <c r="J150" s="4" t="str">
        <f>"(P) 330-897-7830"</f>
        <v>(P) 330-897-7830</v>
      </c>
      <c r="K150" s="4"/>
      <c r="L150" s="4" t="s">
        <v>592</v>
      </c>
      <c r="M150" s="4" t="s">
        <v>967</v>
      </c>
      <c r="N150" s="4" t="s">
        <v>22</v>
      </c>
      <c r="O150" s="4" t="s">
        <v>23</v>
      </c>
      <c r="P150" s="4" t="str">
        <f>"43804"</f>
        <v>43804</v>
      </c>
      <c r="Q150" s="4" t="s">
        <v>134</v>
      </c>
      <c r="R150" s="6">
        <v>44196</v>
      </c>
      <c r="S150" s="4" t="s">
        <v>46</v>
      </c>
    </row>
    <row r="151" spans="1:19" s="3" customFormat="1" ht="43.2" x14ac:dyDescent="0.3">
      <c r="A151" s="4" t="str">
        <f>"CB001E9T"</f>
        <v>CB001E9T</v>
      </c>
      <c r="B151" s="4"/>
      <c r="C151" s="4" t="s">
        <v>897</v>
      </c>
      <c r="D151" s="4" t="s">
        <v>59</v>
      </c>
      <c r="E151" s="4" t="s">
        <v>898</v>
      </c>
      <c r="F151" s="4" t="s">
        <v>40</v>
      </c>
      <c r="G151" s="4" t="s">
        <v>23</v>
      </c>
      <c r="H151" s="4" t="str">
        <f>"44654"</f>
        <v>44654</v>
      </c>
      <c r="I151" s="4" t="s">
        <v>24</v>
      </c>
      <c r="J151" s="4" t="str">
        <f>"(P) 330-674-2765"</f>
        <v>(P) 330-674-2765</v>
      </c>
      <c r="K151" s="4"/>
      <c r="L151" s="4" t="s">
        <v>995</v>
      </c>
      <c r="M151" s="4" t="s">
        <v>898</v>
      </c>
      <c r="N151" s="4" t="s">
        <v>40</v>
      </c>
      <c r="O151" s="4" t="s">
        <v>23</v>
      </c>
      <c r="P151" s="4" t="str">
        <f>"44654"</f>
        <v>44654</v>
      </c>
      <c r="Q151" s="4" t="s">
        <v>24</v>
      </c>
      <c r="R151" s="6">
        <v>44196</v>
      </c>
      <c r="S151" s="4" t="s">
        <v>76</v>
      </c>
    </row>
    <row r="152" spans="1:19" s="3" customFormat="1" ht="43.2" x14ac:dyDescent="0.3">
      <c r="A152" s="4" t="str">
        <f>"CB0000BH"</f>
        <v>CB0000BH</v>
      </c>
      <c r="B152" s="4" t="s">
        <v>47</v>
      </c>
      <c r="C152" s="4" t="s">
        <v>48</v>
      </c>
      <c r="D152" s="4" t="s">
        <v>49</v>
      </c>
      <c r="E152" s="4" t="s">
        <v>50</v>
      </c>
      <c r="F152" s="4" t="s">
        <v>51</v>
      </c>
      <c r="G152" s="4" t="s">
        <v>23</v>
      </c>
      <c r="H152" s="4" t="str">
        <f>"44606"</f>
        <v>44606</v>
      </c>
      <c r="I152" s="4" t="s">
        <v>52</v>
      </c>
      <c r="J152" s="4" t="str">
        <f>"(P) 330-698-1888 (F) 330-698-0537"</f>
        <v>(P) 330-698-1888 (F) 330-698-0537</v>
      </c>
      <c r="K152" s="4"/>
      <c r="L152" s="4" t="s">
        <v>985</v>
      </c>
      <c r="M152" s="4" t="s">
        <v>50</v>
      </c>
      <c r="N152" s="4" t="s">
        <v>51</v>
      </c>
      <c r="O152" s="4" t="s">
        <v>23</v>
      </c>
      <c r="P152" s="4" t="str">
        <f>"44606"</f>
        <v>44606</v>
      </c>
      <c r="Q152" s="4" t="s">
        <v>52</v>
      </c>
      <c r="R152" s="6">
        <v>44196</v>
      </c>
      <c r="S152" s="4" t="s">
        <v>26</v>
      </c>
    </row>
    <row r="153" spans="1:19" s="3" customFormat="1" ht="43.2" x14ac:dyDescent="0.3">
      <c r="A153" s="4" t="str">
        <f>"CB0000DD"</f>
        <v>CB0000DD</v>
      </c>
      <c r="B153" s="4" t="s">
        <v>58</v>
      </c>
      <c r="C153" s="4" t="s">
        <v>48</v>
      </c>
      <c r="D153" s="4" t="s">
        <v>59</v>
      </c>
      <c r="E153" s="4" t="s">
        <v>60</v>
      </c>
      <c r="F153" s="4" t="s">
        <v>22</v>
      </c>
      <c r="G153" s="4" t="s">
        <v>23</v>
      </c>
      <c r="H153" s="4" t="str">
        <f>"43804"</f>
        <v>43804</v>
      </c>
      <c r="I153" s="4" t="s">
        <v>24</v>
      </c>
      <c r="J153" s="4" t="str">
        <f>"(P) 330-893-9140 (F) 330-893-0261"</f>
        <v>(P) 330-893-9140 (F) 330-893-0261</v>
      </c>
      <c r="K153" s="4"/>
      <c r="L153" s="4" t="s">
        <v>852</v>
      </c>
      <c r="M153" s="4" t="s">
        <v>60</v>
      </c>
      <c r="N153" s="4" t="s">
        <v>22</v>
      </c>
      <c r="O153" s="4" t="s">
        <v>23</v>
      </c>
      <c r="P153" s="4" t="str">
        <f>"43804"</f>
        <v>43804</v>
      </c>
      <c r="Q153" s="4" t="s">
        <v>24</v>
      </c>
      <c r="R153" s="6">
        <v>44196</v>
      </c>
      <c r="S153" s="4" t="s">
        <v>26</v>
      </c>
    </row>
    <row r="154" spans="1:19" s="3" customFormat="1" ht="43.2" x14ac:dyDescent="0.3">
      <c r="A154" s="4" t="str">
        <f>"CB0003C5"</f>
        <v>CB0003C5</v>
      </c>
      <c r="B154" s="4" t="s">
        <v>224</v>
      </c>
      <c r="C154" s="4" t="s">
        <v>48</v>
      </c>
      <c r="D154" s="4" t="s">
        <v>43</v>
      </c>
      <c r="E154" s="4" t="s">
        <v>225</v>
      </c>
      <c r="F154" s="4" t="s">
        <v>40</v>
      </c>
      <c r="G154" s="4" t="s">
        <v>23</v>
      </c>
      <c r="H154" s="4" t="str">
        <f>"44654"</f>
        <v>44654</v>
      </c>
      <c r="I154" s="4" t="s">
        <v>24</v>
      </c>
      <c r="J154" s="4" t="str">
        <f>"(P) 330-674-1597"</f>
        <v>(P) 330-674-1597</v>
      </c>
      <c r="K154" s="4"/>
      <c r="L154" s="4" t="s">
        <v>997</v>
      </c>
      <c r="M154" s="4" t="s">
        <v>225</v>
      </c>
      <c r="N154" s="4" t="s">
        <v>40</v>
      </c>
      <c r="O154" s="4" t="s">
        <v>23</v>
      </c>
      <c r="P154" s="4" t="str">
        <f>"44654"</f>
        <v>44654</v>
      </c>
      <c r="Q154" s="4" t="s">
        <v>24</v>
      </c>
      <c r="R154" s="6">
        <v>44196</v>
      </c>
      <c r="S154" s="4" t="s">
        <v>35</v>
      </c>
    </row>
    <row r="155" spans="1:19" s="3" customFormat="1" ht="43.2" x14ac:dyDescent="0.3">
      <c r="A155" s="4" t="str">
        <f>"CB002CXJ"</f>
        <v>CB002CXJ</v>
      </c>
      <c r="B155" s="4"/>
      <c r="C155" s="4" t="s">
        <v>1420</v>
      </c>
      <c r="D155" s="4" t="s">
        <v>20</v>
      </c>
      <c r="E155" s="4" t="s">
        <v>1421</v>
      </c>
      <c r="F155" s="4" t="s">
        <v>420</v>
      </c>
      <c r="G155" s="4" t="s">
        <v>23</v>
      </c>
      <c r="H155" s="4" t="str">
        <f>"43843"</f>
        <v>43843</v>
      </c>
      <c r="I155" s="4" t="s">
        <v>134</v>
      </c>
      <c r="J155" s="4" t="str">
        <f>"(P) 740-327-1722 (M) 937-217-9253"</f>
        <v>(P) 740-327-1722 (M) 937-217-9253</v>
      </c>
      <c r="K155" s="4"/>
      <c r="L155" s="4" t="s">
        <v>920</v>
      </c>
      <c r="M155" s="4" t="s">
        <v>1421</v>
      </c>
      <c r="N155" s="4" t="s">
        <v>420</v>
      </c>
      <c r="O155" s="4" t="s">
        <v>23</v>
      </c>
      <c r="P155" s="4" t="str">
        <f>"43843"</f>
        <v>43843</v>
      </c>
      <c r="Q155" s="4" t="s">
        <v>134</v>
      </c>
      <c r="R155" s="6">
        <v>44196</v>
      </c>
      <c r="S155" s="4" t="s">
        <v>46</v>
      </c>
    </row>
    <row r="156" spans="1:19" s="3" customFormat="1" ht="43.2" x14ac:dyDescent="0.3">
      <c r="A156" s="4" t="str">
        <f>"CB00158Y"</f>
        <v>CB00158Y</v>
      </c>
      <c r="B156" s="4"/>
      <c r="C156" s="4" t="s">
        <v>713</v>
      </c>
      <c r="D156" s="4" t="s">
        <v>20</v>
      </c>
      <c r="E156" s="4" t="s">
        <v>714</v>
      </c>
      <c r="F156" s="4" t="s">
        <v>22</v>
      </c>
      <c r="G156" s="4" t="s">
        <v>23</v>
      </c>
      <c r="H156" s="4" t="str">
        <f>"43804"</f>
        <v>43804</v>
      </c>
      <c r="I156" s="4" t="s">
        <v>24</v>
      </c>
      <c r="J156" s="4" t="str">
        <f>"(P) 330-473-9639"</f>
        <v>(P) 330-473-9639</v>
      </c>
      <c r="K156" s="4"/>
      <c r="L156" s="4" t="s">
        <v>1055</v>
      </c>
      <c r="M156" s="4" t="s">
        <v>714</v>
      </c>
      <c r="N156" s="4" t="s">
        <v>22</v>
      </c>
      <c r="O156" s="4" t="s">
        <v>23</v>
      </c>
      <c r="P156" s="4" t="str">
        <f>"43804"</f>
        <v>43804</v>
      </c>
      <c r="Q156" s="4" t="s">
        <v>24</v>
      </c>
      <c r="R156" s="6">
        <v>44196</v>
      </c>
      <c r="S156" s="4" t="s">
        <v>46</v>
      </c>
    </row>
    <row r="157" spans="1:19" s="3" customFormat="1" ht="43.2" x14ac:dyDescent="0.3">
      <c r="A157" s="4" t="str">
        <f>"CB001F9P"</f>
        <v>CB001F9P</v>
      </c>
      <c r="B157" s="4"/>
      <c r="C157" s="4" t="s">
        <v>909</v>
      </c>
      <c r="D157" s="4" t="s">
        <v>43</v>
      </c>
      <c r="E157" s="4" t="s">
        <v>910</v>
      </c>
      <c r="F157" s="4" t="s">
        <v>40</v>
      </c>
      <c r="G157" s="4" t="s">
        <v>23</v>
      </c>
      <c r="H157" s="4" t="str">
        <f>"44654"</f>
        <v>44654</v>
      </c>
      <c r="I157" s="4" t="s">
        <v>24</v>
      </c>
      <c r="J157" s="4" t="str">
        <f>"(P) 330-390-5941"</f>
        <v>(P) 330-390-5941</v>
      </c>
      <c r="K157" s="4" t="s">
        <v>911</v>
      </c>
      <c r="L157" s="4" t="s">
        <v>1118</v>
      </c>
      <c r="M157" s="4" t="s">
        <v>910</v>
      </c>
      <c r="N157" s="4" t="s">
        <v>40</v>
      </c>
      <c r="O157" s="4" t="s">
        <v>23</v>
      </c>
      <c r="P157" s="4" t="str">
        <f>"44654"</f>
        <v>44654</v>
      </c>
      <c r="Q157" s="4" t="s">
        <v>24</v>
      </c>
      <c r="R157" s="6">
        <v>44196</v>
      </c>
      <c r="S157" s="4" t="s">
        <v>35</v>
      </c>
    </row>
    <row r="158" spans="1:19" s="3" customFormat="1" ht="43.2" x14ac:dyDescent="0.3">
      <c r="A158" s="4" t="str">
        <f>"CB00035K"</f>
        <v>CB00035K</v>
      </c>
      <c r="B158" s="4" t="s">
        <v>203</v>
      </c>
      <c r="C158" s="4" t="s">
        <v>204</v>
      </c>
      <c r="D158" s="4" t="s">
        <v>93</v>
      </c>
      <c r="E158" s="4" t="s">
        <v>205</v>
      </c>
      <c r="F158" s="4" t="s">
        <v>87</v>
      </c>
      <c r="G158" s="4" t="s">
        <v>23</v>
      </c>
      <c r="H158" s="4" t="str">
        <f>"44878"</f>
        <v>44878</v>
      </c>
      <c r="I158" s="4" t="s">
        <v>88</v>
      </c>
      <c r="J158" s="4" t="str">
        <f>"(P) 419-896-2930"</f>
        <v>(P) 419-896-2930</v>
      </c>
      <c r="K158" s="4"/>
      <c r="L158" s="4" t="s">
        <v>993</v>
      </c>
      <c r="M158" s="4" t="s">
        <v>205</v>
      </c>
      <c r="N158" s="4" t="s">
        <v>87</v>
      </c>
      <c r="O158" s="4" t="s">
        <v>23</v>
      </c>
      <c r="P158" s="4" t="str">
        <f>"44878"</f>
        <v>44878</v>
      </c>
      <c r="Q158" s="4" t="s">
        <v>88</v>
      </c>
      <c r="R158" s="6">
        <v>44196</v>
      </c>
      <c r="S158" s="4" t="s">
        <v>76</v>
      </c>
    </row>
    <row r="159" spans="1:19" s="3" customFormat="1" ht="43.2" x14ac:dyDescent="0.3">
      <c r="A159" s="4" t="str">
        <f>"CB001377"</f>
        <v>CB001377</v>
      </c>
      <c r="B159" s="4" t="s">
        <v>692</v>
      </c>
      <c r="C159" s="4" t="s">
        <v>204</v>
      </c>
      <c r="D159" s="4" t="s">
        <v>49</v>
      </c>
      <c r="E159" s="4" t="s">
        <v>693</v>
      </c>
      <c r="F159" s="4" t="s">
        <v>22</v>
      </c>
      <c r="G159" s="4" t="s">
        <v>23</v>
      </c>
      <c r="H159" s="4" t="str">
        <f>"43804"</f>
        <v>43804</v>
      </c>
      <c r="I159" s="4" t="s">
        <v>24</v>
      </c>
      <c r="J159" s="4" t="str">
        <f>"(M) 330-897-9859"</f>
        <v>(M) 330-897-9859</v>
      </c>
      <c r="K159" s="4"/>
      <c r="L159" s="4" t="s">
        <v>1343</v>
      </c>
      <c r="M159" s="4" t="s">
        <v>693</v>
      </c>
      <c r="N159" s="4" t="s">
        <v>22</v>
      </c>
      <c r="O159" s="4" t="s">
        <v>23</v>
      </c>
      <c r="P159" s="4" t="str">
        <f>"43804"</f>
        <v>43804</v>
      </c>
      <c r="Q159" s="4" t="s">
        <v>24</v>
      </c>
      <c r="R159" s="6">
        <v>44196</v>
      </c>
      <c r="S159" s="4" t="s">
        <v>46</v>
      </c>
    </row>
    <row r="160" spans="1:19" s="3" customFormat="1" ht="43.2" x14ac:dyDescent="0.3">
      <c r="A160" s="4" t="str">
        <f>"CB0002TE"</f>
        <v>CB0002TE</v>
      </c>
      <c r="B160" s="4"/>
      <c r="C160" s="4" t="s">
        <v>176</v>
      </c>
      <c r="D160" s="4" t="s">
        <v>43</v>
      </c>
      <c r="E160" s="4" t="s">
        <v>177</v>
      </c>
      <c r="F160" s="4" t="s">
        <v>40</v>
      </c>
      <c r="G160" s="4" t="s">
        <v>23</v>
      </c>
      <c r="H160" s="4" t="str">
        <f>"44654"</f>
        <v>44654</v>
      </c>
      <c r="I160" s="4" t="s">
        <v>24</v>
      </c>
      <c r="J160" s="4" t="str">
        <f>"(P) 330-674-0284"</f>
        <v>(P) 330-674-0284</v>
      </c>
      <c r="K160" s="4"/>
      <c r="L160" s="4" t="s">
        <v>144</v>
      </c>
      <c r="M160" s="4" t="s">
        <v>177</v>
      </c>
      <c r="N160" s="4" t="s">
        <v>40</v>
      </c>
      <c r="O160" s="4" t="s">
        <v>23</v>
      </c>
      <c r="P160" s="4" t="str">
        <f>"44654"</f>
        <v>44654</v>
      </c>
      <c r="Q160" s="4" t="s">
        <v>24</v>
      </c>
      <c r="R160" s="6">
        <v>44196</v>
      </c>
      <c r="S160" s="4" t="s">
        <v>46</v>
      </c>
    </row>
    <row r="161" spans="1:19" s="3" customFormat="1" ht="43.2" x14ac:dyDescent="0.3">
      <c r="A161" s="4" t="str">
        <f>"CB000PDQ"</f>
        <v>CB000PDQ</v>
      </c>
      <c r="B161" s="4" t="s">
        <v>538</v>
      </c>
      <c r="C161" s="4" t="s">
        <v>176</v>
      </c>
      <c r="D161" s="4" t="s">
        <v>539</v>
      </c>
      <c r="E161" s="4" t="s">
        <v>540</v>
      </c>
      <c r="F161" s="4" t="s">
        <v>504</v>
      </c>
      <c r="G161" s="4" t="s">
        <v>23</v>
      </c>
      <c r="H161" s="4" t="str">
        <f>"44822"</f>
        <v>44822</v>
      </c>
      <c r="I161" s="4" t="s">
        <v>505</v>
      </c>
      <c r="J161" s="4" t="str">
        <f>"(P) 740-599-7797"</f>
        <v>(P) 740-599-7797</v>
      </c>
      <c r="K161" s="4"/>
      <c r="L161" s="4" t="s">
        <v>144</v>
      </c>
      <c r="M161" s="4" t="s">
        <v>540</v>
      </c>
      <c r="N161" s="4" t="s">
        <v>504</v>
      </c>
      <c r="O161" s="4" t="s">
        <v>23</v>
      </c>
      <c r="P161" s="4" t="str">
        <f>"44822"</f>
        <v>44822</v>
      </c>
      <c r="Q161" s="4" t="s">
        <v>505</v>
      </c>
      <c r="R161" s="6">
        <v>44196</v>
      </c>
      <c r="S161" s="4" t="s">
        <v>46</v>
      </c>
    </row>
    <row r="162" spans="1:19" s="3" customFormat="1" ht="43.2" x14ac:dyDescent="0.3">
      <c r="A162" s="4" t="str">
        <f>"CB001HRG"</f>
        <v>CB001HRG</v>
      </c>
      <c r="B162" s="4"/>
      <c r="C162" s="4" t="s">
        <v>176</v>
      </c>
      <c r="D162" s="4" t="s">
        <v>59</v>
      </c>
      <c r="E162" s="4" t="s">
        <v>932</v>
      </c>
      <c r="F162" s="4" t="s">
        <v>99</v>
      </c>
      <c r="G162" s="4" t="s">
        <v>23</v>
      </c>
      <c r="H162" s="4" t="str">
        <f>"43824"</f>
        <v>43824</v>
      </c>
      <c r="I162" s="4" t="s">
        <v>134</v>
      </c>
      <c r="J162" s="4" t="str">
        <f>"(P) 330-275-4983 (F) 844-685-7685"</f>
        <v>(P) 330-275-4983 (F) 844-685-7685</v>
      </c>
      <c r="K162" s="4"/>
      <c r="L162" s="4" t="s">
        <v>945</v>
      </c>
      <c r="M162" s="4" t="s">
        <v>932</v>
      </c>
      <c r="N162" s="4" t="s">
        <v>99</v>
      </c>
      <c r="O162" s="4" t="s">
        <v>23</v>
      </c>
      <c r="P162" s="4" t="str">
        <f>"43824"</f>
        <v>43824</v>
      </c>
      <c r="Q162" s="4" t="s">
        <v>134</v>
      </c>
      <c r="R162" s="6">
        <v>44196</v>
      </c>
      <c r="S162" s="4" t="s">
        <v>72</v>
      </c>
    </row>
    <row r="163" spans="1:19" s="3" customFormat="1" ht="43.2" x14ac:dyDescent="0.3">
      <c r="A163" s="4" t="str">
        <f>"CB001MJE"</f>
        <v>CB001MJE</v>
      </c>
      <c r="B163" s="4"/>
      <c r="C163" s="4" t="s">
        <v>176</v>
      </c>
      <c r="D163" s="4" t="s">
        <v>798</v>
      </c>
      <c r="E163" s="4" t="s">
        <v>1025</v>
      </c>
      <c r="F163" s="4" t="s">
        <v>65</v>
      </c>
      <c r="G163" s="4" t="s">
        <v>23</v>
      </c>
      <c r="H163" s="4" t="str">
        <f>"44624"</f>
        <v>44624</v>
      </c>
      <c r="I163" s="4" t="s">
        <v>66</v>
      </c>
      <c r="J163" s="4" t="str">
        <f>"(P) 330-231-9479 (M) 330-275-6559"</f>
        <v>(P) 330-231-9479 (M) 330-275-6559</v>
      </c>
      <c r="K163" s="4"/>
      <c r="L163" s="4" t="s">
        <v>1329</v>
      </c>
      <c r="M163" s="4" t="s">
        <v>1025</v>
      </c>
      <c r="N163" s="4" t="s">
        <v>65</v>
      </c>
      <c r="O163" s="4" t="s">
        <v>23</v>
      </c>
      <c r="P163" s="4" t="str">
        <f>"44624"</f>
        <v>44624</v>
      </c>
      <c r="Q163" s="4" t="s">
        <v>66</v>
      </c>
      <c r="R163" s="6">
        <v>44196</v>
      </c>
      <c r="S163" s="4" t="s">
        <v>46</v>
      </c>
    </row>
    <row r="164" spans="1:19" s="3" customFormat="1" ht="43.2" x14ac:dyDescent="0.3">
      <c r="A164" s="4" t="str">
        <f>"CB001PBL"</f>
        <v>CB001PBL</v>
      </c>
      <c r="B164" s="4" t="s">
        <v>1075</v>
      </c>
      <c r="C164" s="4" t="s">
        <v>176</v>
      </c>
      <c r="D164" s="4" t="s">
        <v>43</v>
      </c>
      <c r="E164" s="4" t="s">
        <v>1076</v>
      </c>
      <c r="F164" s="4" t="s">
        <v>40</v>
      </c>
      <c r="G164" s="4" t="s">
        <v>23</v>
      </c>
      <c r="H164" s="4" t="str">
        <f>"44654"</f>
        <v>44654</v>
      </c>
      <c r="I164" s="4" t="s">
        <v>24</v>
      </c>
      <c r="J164" s="4" t="str">
        <f>"(P) 330-893-3855 (F) 330-893-3327"</f>
        <v>(P) 330-893-3855 (F) 330-893-3327</v>
      </c>
      <c r="K164" s="4"/>
      <c r="L164" s="4" t="s">
        <v>727</v>
      </c>
      <c r="M164" s="4" t="s">
        <v>1076</v>
      </c>
      <c r="N164" s="4" t="s">
        <v>40</v>
      </c>
      <c r="O164" s="4" t="s">
        <v>23</v>
      </c>
      <c r="P164" s="4" t="str">
        <f>"44654"</f>
        <v>44654</v>
      </c>
      <c r="Q164" s="4" t="s">
        <v>24</v>
      </c>
      <c r="R164" s="6">
        <v>44196</v>
      </c>
      <c r="S164" s="4" t="s">
        <v>35</v>
      </c>
    </row>
    <row r="165" spans="1:19" s="3" customFormat="1" ht="43.2" x14ac:dyDescent="0.3">
      <c r="A165" s="4" t="str">
        <f>"CB0023UR"</f>
        <v>CB0023UR</v>
      </c>
      <c r="B165" s="4" t="s">
        <v>1245</v>
      </c>
      <c r="C165" s="4" t="s">
        <v>176</v>
      </c>
      <c r="D165" s="4" t="s">
        <v>55</v>
      </c>
      <c r="E165" s="4" t="s">
        <v>1246</v>
      </c>
      <c r="F165" s="4" t="s">
        <v>40</v>
      </c>
      <c r="G165" s="4" t="s">
        <v>23</v>
      </c>
      <c r="H165" s="4" t="str">
        <f>"44654"</f>
        <v>44654</v>
      </c>
      <c r="I165" s="4" t="s">
        <v>24</v>
      </c>
      <c r="J165" s="4" t="str">
        <f>"(M) 330-893-0029"</f>
        <v>(M) 330-893-0029</v>
      </c>
      <c r="K165" s="4"/>
      <c r="L165" s="4" t="s">
        <v>1234</v>
      </c>
      <c r="M165" s="4" t="s">
        <v>1246</v>
      </c>
      <c r="N165" s="4" t="s">
        <v>40</v>
      </c>
      <c r="O165" s="4" t="s">
        <v>23</v>
      </c>
      <c r="P165" s="4" t="str">
        <f>"44654"</f>
        <v>44654</v>
      </c>
      <c r="Q165" s="4" t="s">
        <v>24</v>
      </c>
      <c r="R165" s="6">
        <v>44196</v>
      </c>
      <c r="S165" s="4" t="s">
        <v>72</v>
      </c>
    </row>
    <row r="166" spans="1:19" s="3" customFormat="1" ht="43.2" x14ac:dyDescent="0.3">
      <c r="A166" s="4" t="str">
        <f>"CB002BKB"</f>
        <v>CB002BKB</v>
      </c>
      <c r="B166" s="4"/>
      <c r="C166" s="4" t="s">
        <v>176</v>
      </c>
      <c r="D166" s="4" t="s">
        <v>1384</v>
      </c>
      <c r="E166" s="4" t="s">
        <v>1385</v>
      </c>
      <c r="F166" s="4" t="s">
        <v>74</v>
      </c>
      <c r="G166" s="4" t="s">
        <v>23</v>
      </c>
      <c r="H166" s="4" t="str">
        <f>"44681"</f>
        <v>44681</v>
      </c>
      <c r="I166" s="4" t="s">
        <v>66</v>
      </c>
      <c r="J166" s="4" t="str">
        <f>"(P) 330-440-9654"</f>
        <v>(P) 330-440-9654</v>
      </c>
      <c r="K166" s="4"/>
      <c r="L166" s="4" t="s">
        <v>655</v>
      </c>
      <c r="M166" s="4" t="s">
        <v>1385</v>
      </c>
      <c r="N166" s="4" t="s">
        <v>74</v>
      </c>
      <c r="O166" s="4" t="s">
        <v>23</v>
      </c>
      <c r="P166" s="4" t="str">
        <f>"44681"</f>
        <v>44681</v>
      </c>
      <c r="Q166" s="4" t="s">
        <v>66</v>
      </c>
      <c r="R166" s="6">
        <v>44196</v>
      </c>
      <c r="S166" s="4" t="s">
        <v>35</v>
      </c>
    </row>
    <row r="167" spans="1:19" s="3" customFormat="1" ht="43.2" x14ac:dyDescent="0.3">
      <c r="A167" s="4" t="str">
        <f>"CB0000TL"</f>
        <v>CB0000TL</v>
      </c>
      <c r="B167" s="4" t="s">
        <v>91</v>
      </c>
      <c r="C167" s="4" t="s">
        <v>92</v>
      </c>
      <c r="D167" s="4" t="s">
        <v>93</v>
      </c>
      <c r="E167" s="4" t="s">
        <v>94</v>
      </c>
      <c r="F167" s="4" t="s">
        <v>74</v>
      </c>
      <c r="G167" s="4" t="s">
        <v>23</v>
      </c>
      <c r="H167" s="4" t="str">
        <f>"44681"</f>
        <v>44681</v>
      </c>
      <c r="I167" s="4" t="s">
        <v>24</v>
      </c>
      <c r="J167" s="4" t="str">
        <f>"(P) 330-204-0402 (F) 330-893-0536"</f>
        <v>(P) 330-204-0402 (F) 330-893-0536</v>
      </c>
      <c r="K167" s="4"/>
      <c r="L167" s="4" t="s">
        <v>1015</v>
      </c>
      <c r="M167" s="4" t="s">
        <v>96</v>
      </c>
      <c r="N167" s="4" t="s">
        <v>74</v>
      </c>
      <c r="O167" s="4" t="s">
        <v>23</v>
      </c>
      <c r="P167" s="4" t="str">
        <f>"44681"</f>
        <v>44681</v>
      </c>
      <c r="Q167" s="4" t="s">
        <v>24</v>
      </c>
      <c r="R167" s="6">
        <v>44196</v>
      </c>
      <c r="S167" s="4" t="s">
        <v>76</v>
      </c>
    </row>
    <row r="168" spans="1:19" s="3" customFormat="1" ht="43.2" x14ac:dyDescent="0.3">
      <c r="A168" s="4" t="str">
        <f>"CB0000RQ"</f>
        <v>CB0000RQ</v>
      </c>
      <c r="B168" s="4"/>
      <c r="C168" s="4" t="s">
        <v>84</v>
      </c>
      <c r="D168" s="4" t="s">
        <v>85</v>
      </c>
      <c r="E168" s="4" t="s">
        <v>86</v>
      </c>
      <c r="F168" s="4" t="s">
        <v>87</v>
      </c>
      <c r="G168" s="4" t="s">
        <v>23</v>
      </c>
      <c r="H168" s="4" t="str">
        <f>"44878"</f>
        <v>44878</v>
      </c>
      <c r="I168" s="4" t="s">
        <v>88</v>
      </c>
      <c r="J168" s="4" t="str">
        <f>"(P) 419-896-2014 (F) 419-896-2014"</f>
        <v>(P) 419-896-2014 (F) 419-896-2014</v>
      </c>
      <c r="K168" s="4"/>
      <c r="L168" s="4" t="s">
        <v>556</v>
      </c>
      <c r="M168" s="4" t="s">
        <v>90</v>
      </c>
      <c r="N168" s="4" t="s">
        <v>87</v>
      </c>
      <c r="O168" s="4" t="s">
        <v>23</v>
      </c>
      <c r="P168" s="4" t="str">
        <f>"44878"</f>
        <v>44878</v>
      </c>
      <c r="Q168" s="4" t="s">
        <v>88</v>
      </c>
      <c r="R168" s="6">
        <v>44196</v>
      </c>
      <c r="S168" s="4" t="s">
        <v>46</v>
      </c>
    </row>
    <row r="169" spans="1:19" s="3" customFormat="1" ht="43.2" x14ac:dyDescent="0.3">
      <c r="A169" s="4" t="str">
        <f>"CB00007R"</f>
        <v>CB00007R</v>
      </c>
      <c r="B169" s="4" t="s">
        <v>36</v>
      </c>
      <c r="C169" s="4" t="s">
        <v>37</v>
      </c>
      <c r="D169" s="4" t="s">
        <v>38</v>
      </c>
      <c r="E169" s="4" t="s">
        <v>39</v>
      </c>
      <c r="F169" s="4" t="s">
        <v>40</v>
      </c>
      <c r="G169" s="4" t="s">
        <v>23</v>
      </c>
      <c r="H169" s="4" t="str">
        <f>"44654"</f>
        <v>44654</v>
      </c>
      <c r="I169" s="4" t="s">
        <v>24</v>
      </c>
      <c r="J169" s="4" t="str">
        <f>"(P) 330-674-6304"</f>
        <v>(P) 330-674-6304</v>
      </c>
      <c r="K169" s="4"/>
      <c r="L169" s="4" t="s">
        <v>679</v>
      </c>
      <c r="M169" s="4" t="s">
        <v>39</v>
      </c>
      <c r="N169" s="4" t="s">
        <v>40</v>
      </c>
      <c r="O169" s="4" t="s">
        <v>23</v>
      </c>
      <c r="P169" s="4" t="str">
        <f>"44654"</f>
        <v>44654</v>
      </c>
      <c r="Q169" s="4" t="s">
        <v>24</v>
      </c>
      <c r="R169" s="6">
        <v>44196</v>
      </c>
      <c r="S169" s="4" t="s">
        <v>26</v>
      </c>
    </row>
    <row r="170" spans="1:19" s="3" customFormat="1" ht="43.2" x14ac:dyDescent="0.3">
      <c r="A170" s="4" t="str">
        <f>"CB0000MY"</f>
        <v>CB0000MY</v>
      </c>
      <c r="B170" s="4"/>
      <c r="C170" s="4" t="s">
        <v>37</v>
      </c>
      <c r="D170" s="4" t="s">
        <v>43</v>
      </c>
      <c r="E170" s="4" t="s">
        <v>73</v>
      </c>
      <c r="F170" s="4" t="s">
        <v>74</v>
      </c>
      <c r="G170" s="4" t="s">
        <v>23</v>
      </c>
      <c r="H170" s="4" t="str">
        <f>"44681"</f>
        <v>44681</v>
      </c>
      <c r="I170" s="4" t="s">
        <v>24</v>
      </c>
      <c r="J170" s="4" t="str">
        <f>"(P) 330-600-9852"</f>
        <v>(P) 330-600-9852</v>
      </c>
      <c r="K170" s="4"/>
      <c r="L170" s="4" t="s">
        <v>155</v>
      </c>
      <c r="M170" s="4" t="s">
        <v>73</v>
      </c>
      <c r="N170" s="4" t="s">
        <v>74</v>
      </c>
      <c r="O170" s="4" t="s">
        <v>23</v>
      </c>
      <c r="P170" s="4" t="str">
        <f>"44681"</f>
        <v>44681</v>
      </c>
      <c r="Q170" s="4" t="s">
        <v>24</v>
      </c>
      <c r="R170" s="6">
        <v>44196</v>
      </c>
      <c r="S170" s="4" t="s">
        <v>76</v>
      </c>
    </row>
    <row r="171" spans="1:19" s="3" customFormat="1" ht="43.2" x14ac:dyDescent="0.3">
      <c r="A171" s="4" t="str">
        <f>"CB000Q0B"</f>
        <v>CB000Q0B</v>
      </c>
      <c r="B171" s="4"/>
      <c r="C171" s="4" t="s">
        <v>37</v>
      </c>
      <c r="D171" s="4" t="s">
        <v>546</v>
      </c>
      <c r="E171" s="4" t="s">
        <v>547</v>
      </c>
      <c r="F171" s="4" t="s">
        <v>22</v>
      </c>
      <c r="G171" s="4" t="s">
        <v>23</v>
      </c>
      <c r="H171" s="4" t="str">
        <f>"43804"</f>
        <v>43804</v>
      </c>
      <c r="I171" s="4" t="s">
        <v>24</v>
      </c>
      <c r="J171" s="4" t="str">
        <f>"(M) 330-897-3018"</f>
        <v>(M) 330-897-3018</v>
      </c>
      <c r="K171" s="4"/>
      <c r="L171" s="4" t="s">
        <v>730</v>
      </c>
      <c r="M171" s="4" t="s">
        <v>547</v>
      </c>
      <c r="N171" s="4" t="s">
        <v>22</v>
      </c>
      <c r="O171" s="4" t="s">
        <v>23</v>
      </c>
      <c r="P171" s="4" t="str">
        <f>"43804"</f>
        <v>43804</v>
      </c>
      <c r="Q171" s="4" t="s">
        <v>24</v>
      </c>
      <c r="R171" s="6">
        <v>44196</v>
      </c>
      <c r="S171" s="4" t="s">
        <v>26</v>
      </c>
    </row>
    <row r="172" spans="1:19" s="3" customFormat="1" ht="43.2" x14ac:dyDescent="0.3">
      <c r="A172" s="4" t="str">
        <f>"CB0011D3"</f>
        <v>CB0011D3</v>
      </c>
      <c r="B172" s="4"/>
      <c r="C172" s="4" t="s">
        <v>37</v>
      </c>
      <c r="D172" s="4" t="s">
        <v>20</v>
      </c>
      <c r="E172" s="4" t="s">
        <v>669</v>
      </c>
      <c r="F172" s="4" t="s">
        <v>74</v>
      </c>
      <c r="G172" s="4" t="s">
        <v>23</v>
      </c>
      <c r="H172" s="4" t="str">
        <f>"44681"</f>
        <v>44681</v>
      </c>
      <c r="I172" s="4" t="s">
        <v>66</v>
      </c>
      <c r="J172" s="4" t="str">
        <f>"(P) 330-852-7718"</f>
        <v>(P) 330-852-7718</v>
      </c>
      <c r="K172" s="4"/>
      <c r="L172" s="4" t="s">
        <v>810</v>
      </c>
      <c r="M172" s="4" t="s">
        <v>669</v>
      </c>
      <c r="N172" s="4" t="s">
        <v>74</v>
      </c>
      <c r="O172" s="4" t="s">
        <v>23</v>
      </c>
      <c r="P172" s="4" t="str">
        <f>"44681"</f>
        <v>44681</v>
      </c>
      <c r="Q172" s="4" t="s">
        <v>66</v>
      </c>
      <c r="R172" s="6">
        <v>44196</v>
      </c>
      <c r="S172" s="4" t="s">
        <v>26</v>
      </c>
    </row>
    <row r="173" spans="1:19" s="3" customFormat="1" ht="43.2" x14ac:dyDescent="0.3">
      <c r="A173" s="4" t="str">
        <f>"CB0019RF"</f>
        <v>CB0019RF</v>
      </c>
      <c r="B173" s="4"/>
      <c r="C173" s="4" t="s">
        <v>37</v>
      </c>
      <c r="D173" s="4" t="s">
        <v>49</v>
      </c>
      <c r="E173" s="4" t="s">
        <v>651</v>
      </c>
      <c r="F173" s="4" t="s">
        <v>40</v>
      </c>
      <c r="G173" s="4" t="s">
        <v>23</v>
      </c>
      <c r="H173" s="4" t="str">
        <f>"44654"</f>
        <v>44654</v>
      </c>
      <c r="I173" s="4" t="s">
        <v>24</v>
      </c>
      <c r="J173" s="4" t="str">
        <f>"(P) 330-897-2929 (F) 330-600-1201"</f>
        <v>(P) 330-897-2929 (F) 330-600-1201</v>
      </c>
      <c r="K173" s="4"/>
      <c r="L173" s="4" t="s">
        <v>712</v>
      </c>
      <c r="M173" s="4" t="s">
        <v>651</v>
      </c>
      <c r="N173" s="4" t="s">
        <v>40</v>
      </c>
      <c r="O173" s="4" t="s">
        <v>23</v>
      </c>
      <c r="P173" s="4" t="str">
        <f>"44654"</f>
        <v>44654</v>
      </c>
      <c r="Q173" s="4" t="s">
        <v>24</v>
      </c>
      <c r="R173" s="6">
        <v>44196</v>
      </c>
      <c r="S173" s="4" t="s">
        <v>26</v>
      </c>
    </row>
    <row r="174" spans="1:19" s="3" customFormat="1" ht="43.2" x14ac:dyDescent="0.3">
      <c r="A174" s="4" t="str">
        <f>"CB001CUY"</f>
        <v>CB001CUY</v>
      </c>
      <c r="B174" s="4"/>
      <c r="C174" s="4" t="s">
        <v>37</v>
      </c>
      <c r="D174" s="4" t="s">
        <v>20</v>
      </c>
      <c r="E174" s="4" t="s">
        <v>855</v>
      </c>
      <c r="F174" s="4" t="s">
        <v>40</v>
      </c>
      <c r="G174" s="4" t="s">
        <v>23</v>
      </c>
      <c r="H174" s="4" t="str">
        <f>"44654"</f>
        <v>44654</v>
      </c>
      <c r="I174" s="4" t="s">
        <v>24</v>
      </c>
      <c r="J174" s="4" t="str">
        <f>"(P) 740-622-5216"</f>
        <v>(P) 740-622-5216</v>
      </c>
      <c r="K174" s="4"/>
      <c r="L174" s="4" t="s">
        <v>1227</v>
      </c>
      <c r="M174" s="4" t="s">
        <v>855</v>
      </c>
      <c r="N174" s="4" t="s">
        <v>40</v>
      </c>
      <c r="O174" s="4" t="s">
        <v>23</v>
      </c>
      <c r="P174" s="4" t="str">
        <f>"44654"</f>
        <v>44654</v>
      </c>
      <c r="Q174" s="4" t="s">
        <v>24</v>
      </c>
      <c r="R174" s="6">
        <v>44196</v>
      </c>
      <c r="S174" s="4" t="s">
        <v>35</v>
      </c>
    </row>
    <row r="175" spans="1:19" s="3" customFormat="1" ht="43.2" x14ac:dyDescent="0.3">
      <c r="A175" s="4" t="str">
        <f>"CB001D64"</f>
        <v>CB001D64</v>
      </c>
      <c r="B175" s="4" t="s">
        <v>863</v>
      </c>
      <c r="C175" s="4" t="s">
        <v>37</v>
      </c>
      <c r="D175" s="4" t="s">
        <v>864</v>
      </c>
      <c r="E175" s="4" t="s">
        <v>865</v>
      </c>
      <c r="F175" s="4" t="s">
        <v>111</v>
      </c>
      <c r="G175" s="4" t="s">
        <v>23</v>
      </c>
      <c r="H175" s="4" t="str">
        <f>"44627"</f>
        <v>44627</v>
      </c>
      <c r="I175" s="4" t="s">
        <v>24</v>
      </c>
      <c r="J175" s="4" t="str">
        <f>"(M) 330-763-4614"</f>
        <v>(M) 330-763-4614</v>
      </c>
      <c r="K175" s="4"/>
      <c r="L175" s="4" t="s">
        <v>397</v>
      </c>
      <c r="M175" s="4" t="s">
        <v>865</v>
      </c>
      <c r="N175" s="4" t="s">
        <v>111</v>
      </c>
      <c r="O175" s="4" t="s">
        <v>23</v>
      </c>
      <c r="P175" s="4" t="str">
        <f>"44627"</f>
        <v>44627</v>
      </c>
      <c r="Q175" s="4" t="s">
        <v>24</v>
      </c>
      <c r="R175" s="6">
        <v>44196</v>
      </c>
      <c r="S175" s="4" t="s">
        <v>46</v>
      </c>
    </row>
    <row r="176" spans="1:19" s="3" customFormat="1" ht="43.2" x14ac:dyDescent="0.3">
      <c r="A176" s="4" t="str">
        <f>"CB001PZ9"</f>
        <v>CB001PZ9</v>
      </c>
      <c r="B176" s="4" t="s">
        <v>1098</v>
      </c>
      <c r="C176" s="4" t="s">
        <v>37</v>
      </c>
      <c r="D176" s="4" t="s">
        <v>59</v>
      </c>
      <c r="E176" s="4" t="s">
        <v>1099</v>
      </c>
      <c r="F176" s="4" t="s">
        <v>40</v>
      </c>
      <c r="G176" s="4" t="s">
        <v>23</v>
      </c>
      <c r="H176" s="4" t="str">
        <f>"44654"</f>
        <v>44654</v>
      </c>
      <c r="I176" s="4" t="s">
        <v>24</v>
      </c>
      <c r="J176" s="4" t="str">
        <f>"(M) 330-600-8862"</f>
        <v>(M) 330-600-8862</v>
      </c>
      <c r="K176" s="4"/>
      <c r="L176" s="4" t="s">
        <v>1369</v>
      </c>
      <c r="M176" s="4" t="s">
        <v>1099</v>
      </c>
      <c r="N176" s="4" t="s">
        <v>40</v>
      </c>
      <c r="O176" s="4" t="s">
        <v>23</v>
      </c>
      <c r="P176" s="4" t="str">
        <f>"44654"</f>
        <v>44654</v>
      </c>
      <c r="Q176" s="4" t="s">
        <v>24</v>
      </c>
      <c r="R176" s="6">
        <v>44196</v>
      </c>
      <c r="S176" s="4" t="s">
        <v>46</v>
      </c>
    </row>
    <row r="177" spans="1:19" s="3" customFormat="1" ht="43.2" x14ac:dyDescent="0.3">
      <c r="A177" s="4" t="str">
        <f>"CB0005T2"</f>
        <v>CB0005T2</v>
      </c>
      <c r="B177" s="4" t="s">
        <v>347</v>
      </c>
      <c r="C177" s="4" t="s">
        <v>348</v>
      </c>
      <c r="D177" s="4" t="s">
        <v>43</v>
      </c>
      <c r="E177" s="4" t="s">
        <v>349</v>
      </c>
      <c r="F177" s="4" t="s">
        <v>74</v>
      </c>
      <c r="G177" s="4" t="s">
        <v>23</v>
      </c>
      <c r="H177" s="4" t="str">
        <f>"44681"</f>
        <v>44681</v>
      </c>
      <c r="I177" s="4" t="s">
        <v>66</v>
      </c>
      <c r="J177" s="4" t="str">
        <f>"(P) 330-852-3932"</f>
        <v>(P) 330-852-3932</v>
      </c>
      <c r="K177" s="4"/>
      <c r="L177" s="4" t="s">
        <v>1250</v>
      </c>
      <c r="M177" s="4" t="s">
        <v>349</v>
      </c>
      <c r="N177" s="4" t="s">
        <v>74</v>
      </c>
      <c r="O177" s="4" t="s">
        <v>23</v>
      </c>
      <c r="P177" s="4" t="str">
        <f>"44681"</f>
        <v>44681</v>
      </c>
      <c r="Q177" s="4" t="s">
        <v>66</v>
      </c>
      <c r="R177" s="6">
        <v>44196</v>
      </c>
      <c r="S177" s="4" t="s">
        <v>26</v>
      </c>
    </row>
    <row r="178" spans="1:19" s="3" customFormat="1" ht="43.2" x14ac:dyDescent="0.3">
      <c r="A178" s="4" t="str">
        <f>"CB000841"</f>
        <v>CB000841</v>
      </c>
      <c r="B178" s="4"/>
      <c r="C178" s="4" t="s">
        <v>430</v>
      </c>
      <c r="D178" s="4" t="s">
        <v>20</v>
      </c>
      <c r="E178" s="4" t="s">
        <v>431</v>
      </c>
      <c r="F178" s="4" t="s">
        <v>22</v>
      </c>
      <c r="G178" s="4" t="s">
        <v>23</v>
      </c>
      <c r="H178" s="4" t="str">
        <f>"43804"</f>
        <v>43804</v>
      </c>
      <c r="I178" s="4" t="s">
        <v>24</v>
      </c>
      <c r="J178" s="4" t="str">
        <f>"(P) 330-473-5331"</f>
        <v>(P) 330-473-5331</v>
      </c>
      <c r="K178" s="4"/>
      <c r="L178" s="4" t="s">
        <v>1310</v>
      </c>
      <c r="M178" s="4" t="s">
        <v>431</v>
      </c>
      <c r="N178" s="4" t="s">
        <v>22</v>
      </c>
      <c r="O178" s="4" t="s">
        <v>23</v>
      </c>
      <c r="P178" s="4" t="str">
        <f>"43804"</f>
        <v>43804</v>
      </c>
      <c r="Q178" s="4" t="s">
        <v>24</v>
      </c>
      <c r="R178" s="6">
        <v>44196</v>
      </c>
      <c r="S178" s="4" t="s">
        <v>76</v>
      </c>
    </row>
    <row r="179" spans="1:19" s="3" customFormat="1" ht="43.2" x14ac:dyDescent="0.3">
      <c r="A179" s="4" t="str">
        <f>"CB000U4N"</f>
        <v>CB000U4N</v>
      </c>
      <c r="B179" s="4" t="s">
        <v>582</v>
      </c>
      <c r="C179" s="4" t="s">
        <v>583</v>
      </c>
      <c r="D179" s="4" t="s">
        <v>43</v>
      </c>
      <c r="E179" s="4" t="s">
        <v>584</v>
      </c>
      <c r="F179" s="4" t="s">
        <v>585</v>
      </c>
      <c r="G179" s="4" t="s">
        <v>23</v>
      </c>
      <c r="H179" s="4" t="str">
        <f>"45640"</f>
        <v>45640</v>
      </c>
      <c r="I179" s="4" t="s">
        <v>586</v>
      </c>
      <c r="J179" s="4" t="str">
        <f>""</f>
        <v/>
      </c>
      <c r="K179" s="4"/>
      <c r="L179" s="4" t="s">
        <v>79</v>
      </c>
      <c r="M179" s="4" t="s">
        <v>584</v>
      </c>
      <c r="N179" s="4" t="s">
        <v>585</v>
      </c>
      <c r="O179" s="4" t="s">
        <v>23</v>
      </c>
      <c r="P179" s="4" t="str">
        <f>"45640"</f>
        <v>45640</v>
      </c>
      <c r="Q179" s="4" t="s">
        <v>586</v>
      </c>
      <c r="R179" s="6">
        <v>44196</v>
      </c>
      <c r="S179" s="4" t="s">
        <v>72</v>
      </c>
    </row>
    <row r="180" spans="1:19" s="3" customFormat="1" ht="43.2" x14ac:dyDescent="0.3">
      <c r="A180" s="4" t="str">
        <f>"CB0019U9"</f>
        <v>CB0019U9</v>
      </c>
      <c r="B180" s="4" t="s">
        <v>818</v>
      </c>
      <c r="C180" s="4" t="s">
        <v>583</v>
      </c>
      <c r="D180" s="4" t="s">
        <v>43</v>
      </c>
      <c r="E180" s="4" t="s">
        <v>819</v>
      </c>
      <c r="F180" s="4" t="s">
        <v>99</v>
      </c>
      <c r="G180" s="4" t="s">
        <v>23</v>
      </c>
      <c r="H180" s="4" t="str">
        <f>"43824"</f>
        <v>43824</v>
      </c>
      <c r="I180" s="4" t="s">
        <v>134</v>
      </c>
      <c r="J180" s="4" t="str">
        <f>"(M) 330-600-1371"</f>
        <v>(M) 330-600-1371</v>
      </c>
      <c r="K180" s="4"/>
      <c r="L180" s="4" t="s">
        <v>869</v>
      </c>
      <c r="M180" s="4" t="s">
        <v>819</v>
      </c>
      <c r="N180" s="4" t="s">
        <v>99</v>
      </c>
      <c r="O180" s="4" t="s">
        <v>23</v>
      </c>
      <c r="P180" s="4" t="str">
        <f>"43824"</f>
        <v>43824</v>
      </c>
      <c r="Q180" s="4" t="s">
        <v>134</v>
      </c>
      <c r="R180" s="6">
        <v>44196</v>
      </c>
      <c r="S180" s="4" t="s">
        <v>76</v>
      </c>
    </row>
    <row r="181" spans="1:19" s="3" customFormat="1" ht="43.2" x14ac:dyDescent="0.3">
      <c r="A181" s="4" t="str">
        <f>"CB001MVR"</f>
        <v>CB001MVR</v>
      </c>
      <c r="B181" s="4"/>
      <c r="C181" s="4" t="s">
        <v>583</v>
      </c>
      <c r="D181" s="4" t="s">
        <v>922</v>
      </c>
      <c r="E181" s="4" t="s">
        <v>1037</v>
      </c>
      <c r="F181" s="4" t="s">
        <v>1038</v>
      </c>
      <c r="G181" s="4" t="s">
        <v>23</v>
      </c>
      <c r="H181" s="4" t="str">
        <f>"44627"</f>
        <v>44627</v>
      </c>
      <c r="I181" s="4" t="s">
        <v>24</v>
      </c>
      <c r="J181" s="4" t="str">
        <f>"(P) 330-473-8795"</f>
        <v>(P) 330-473-8795</v>
      </c>
      <c r="K181" s="4"/>
      <c r="L181" s="4" t="s">
        <v>937</v>
      </c>
      <c r="M181" s="4" t="s">
        <v>1037</v>
      </c>
      <c r="N181" s="4" t="s">
        <v>111</v>
      </c>
      <c r="O181" s="4" t="s">
        <v>23</v>
      </c>
      <c r="P181" s="4" t="str">
        <f>"44627"</f>
        <v>44627</v>
      </c>
      <c r="Q181" s="4" t="s">
        <v>24</v>
      </c>
      <c r="R181" s="6">
        <v>44196</v>
      </c>
      <c r="S181" s="4" t="s">
        <v>46</v>
      </c>
    </row>
    <row r="182" spans="1:19" s="3" customFormat="1" ht="43.2" x14ac:dyDescent="0.3">
      <c r="A182" s="4" t="str">
        <f>"CB000AKX"</f>
        <v>CB000AKX</v>
      </c>
      <c r="B182" s="4" t="s">
        <v>458</v>
      </c>
      <c r="C182" s="4" t="s">
        <v>459</v>
      </c>
      <c r="D182" s="4" t="s">
        <v>460</v>
      </c>
      <c r="E182" s="4" t="s">
        <v>461</v>
      </c>
      <c r="F182" s="4" t="s">
        <v>462</v>
      </c>
      <c r="G182" s="4" t="s">
        <v>23</v>
      </c>
      <c r="H182" s="4" t="str">
        <f>"43420"</f>
        <v>43420</v>
      </c>
      <c r="I182" s="4" t="s">
        <v>463</v>
      </c>
      <c r="J182" s="4" t="str">
        <f>"(P) 419-603-8203 (M) 419-603-8203"</f>
        <v>(P) 419-603-8203 (M) 419-603-8203</v>
      </c>
      <c r="K182" s="4" t="s">
        <v>464</v>
      </c>
      <c r="L182" s="4" t="s">
        <v>758</v>
      </c>
      <c r="M182" s="4" t="s">
        <v>461</v>
      </c>
      <c r="N182" s="4" t="s">
        <v>462</v>
      </c>
      <c r="O182" s="4" t="s">
        <v>23</v>
      </c>
      <c r="P182" s="4" t="str">
        <f>"43420"</f>
        <v>43420</v>
      </c>
      <c r="Q182" s="4" t="s">
        <v>463</v>
      </c>
      <c r="R182" s="6">
        <v>44196</v>
      </c>
      <c r="S182" s="4" t="s">
        <v>46</v>
      </c>
    </row>
    <row r="183" spans="1:19" s="3" customFormat="1" ht="57.6" x14ac:dyDescent="0.3">
      <c r="A183" s="4" t="str">
        <f>"CB0005S4"</f>
        <v>CB0005S4</v>
      </c>
      <c r="B183" s="4"/>
      <c r="C183" s="4" t="s">
        <v>344</v>
      </c>
      <c r="D183" s="4" t="s">
        <v>285</v>
      </c>
      <c r="E183" s="4" t="s">
        <v>345</v>
      </c>
      <c r="F183" s="4" t="s">
        <v>287</v>
      </c>
      <c r="G183" s="4" t="s">
        <v>23</v>
      </c>
      <c r="H183" s="4" t="str">
        <f>"44865"</f>
        <v>44865</v>
      </c>
      <c r="I183" s="4" t="s">
        <v>88</v>
      </c>
      <c r="J183" s="4" t="str">
        <f>"(P) 419-896-2242 (F) 419-896-2242 (M) 567-224-5538"</f>
        <v>(P) 419-896-2242 (F) 419-896-2242 (M) 567-224-5538</v>
      </c>
      <c r="K183" s="4"/>
      <c r="L183" s="4" t="s">
        <v>1267</v>
      </c>
      <c r="M183" s="4" t="s">
        <v>345</v>
      </c>
      <c r="N183" s="4" t="s">
        <v>287</v>
      </c>
      <c r="O183" s="4" t="s">
        <v>23</v>
      </c>
      <c r="P183" s="4" t="str">
        <f>"44865"</f>
        <v>44865</v>
      </c>
      <c r="Q183" s="4" t="s">
        <v>88</v>
      </c>
      <c r="R183" s="6">
        <v>44196</v>
      </c>
      <c r="S183" s="4" t="s">
        <v>76</v>
      </c>
    </row>
    <row r="184" spans="1:19" s="3" customFormat="1" ht="57.6" x14ac:dyDescent="0.3">
      <c r="A184" s="4" t="str">
        <f>"CB000NDU"</f>
        <v>CB000NDU</v>
      </c>
      <c r="B184" s="4"/>
      <c r="C184" s="4" t="s">
        <v>344</v>
      </c>
      <c r="D184" s="4" t="s">
        <v>20</v>
      </c>
      <c r="E184" s="4" t="s">
        <v>495</v>
      </c>
      <c r="F184" s="4" t="s">
        <v>40</v>
      </c>
      <c r="G184" s="4" t="s">
        <v>23</v>
      </c>
      <c r="H184" s="4" t="str">
        <f>"44654"</f>
        <v>44654</v>
      </c>
      <c r="I184" s="4" t="s">
        <v>24</v>
      </c>
      <c r="J184" s="4" t="str">
        <f>"(P) 330-674-9801 (F) 330-674-9801 (M) 330-763-1362"</f>
        <v>(P) 330-674-9801 (F) 330-674-9801 (M) 330-763-1362</v>
      </c>
      <c r="K184" s="4" t="s">
        <v>496</v>
      </c>
      <c r="L184" s="4" t="s">
        <v>1001</v>
      </c>
      <c r="M184" s="4" t="s">
        <v>495</v>
      </c>
      <c r="N184" s="4" t="s">
        <v>40</v>
      </c>
      <c r="O184" s="4" t="s">
        <v>23</v>
      </c>
      <c r="P184" s="4" t="str">
        <f>"44654"</f>
        <v>44654</v>
      </c>
      <c r="Q184" s="4" t="s">
        <v>24</v>
      </c>
      <c r="R184" s="6">
        <v>44196</v>
      </c>
      <c r="S184" s="4" t="s">
        <v>46</v>
      </c>
    </row>
    <row r="185" spans="1:19" s="3" customFormat="1" ht="57.6" x14ac:dyDescent="0.3">
      <c r="A185" s="4" t="str">
        <f>"CB0026QM"</f>
        <v>CB0026QM</v>
      </c>
      <c r="B185" s="4"/>
      <c r="C185" s="4" t="s">
        <v>1268</v>
      </c>
      <c r="D185" s="4" t="s">
        <v>1269</v>
      </c>
      <c r="E185" s="4" t="s">
        <v>1270</v>
      </c>
      <c r="F185" s="4" t="s">
        <v>1271</v>
      </c>
      <c r="G185" s="4" t="s">
        <v>23</v>
      </c>
      <c r="H185" s="4" t="str">
        <f>"44681"</f>
        <v>44681</v>
      </c>
      <c r="I185" s="4" t="s">
        <v>24</v>
      </c>
      <c r="J185" s="4" t="str">
        <f>"(P) 330-600-9061 (P) 330-312-8524 Extn work"</f>
        <v>(P) 330-600-9061 (P) 330-312-8524 Extn work</v>
      </c>
      <c r="K185" s="4"/>
      <c r="L185" s="4" t="s">
        <v>955</v>
      </c>
      <c r="M185" s="4" t="s">
        <v>1273</v>
      </c>
      <c r="N185" s="4" t="s">
        <v>74</v>
      </c>
      <c r="O185" s="4" t="s">
        <v>23</v>
      </c>
      <c r="P185" s="4" t="str">
        <f>"44681"</f>
        <v>44681</v>
      </c>
      <c r="Q185" s="4" t="s">
        <v>24</v>
      </c>
      <c r="R185" s="6">
        <v>44196</v>
      </c>
      <c r="S185" s="4" t="s">
        <v>35</v>
      </c>
    </row>
    <row r="186" spans="1:19" s="3" customFormat="1" ht="43.2" x14ac:dyDescent="0.3">
      <c r="A186" s="4" t="str">
        <f>"CB001LMC"</f>
        <v>CB001LMC</v>
      </c>
      <c r="B186" s="4"/>
      <c r="C186" s="4" t="s">
        <v>986</v>
      </c>
      <c r="D186" s="4" t="s">
        <v>987</v>
      </c>
      <c r="E186" s="4" t="s">
        <v>988</v>
      </c>
      <c r="F186" s="4" t="s">
        <v>174</v>
      </c>
      <c r="G186" s="4" t="s">
        <v>23</v>
      </c>
      <c r="H186" s="4" t="str">
        <f>"44676"</f>
        <v>44676</v>
      </c>
      <c r="I186" s="4" t="s">
        <v>52</v>
      </c>
      <c r="J186" s="4" t="str">
        <f>"(P) 330-749-7089 (M) 330-749-5688"</f>
        <v>(P) 330-749-7089 (M) 330-749-5688</v>
      </c>
      <c r="K186" s="4" t="s">
        <v>989</v>
      </c>
      <c r="L186" s="4" t="s">
        <v>609</v>
      </c>
      <c r="M186" s="4" t="s">
        <v>988</v>
      </c>
      <c r="N186" s="4" t="s">
        <v>174</v>
      </c>
      <c r="O186" s="4" t="s">
        <v>23</v>
      </c>
      <c r="P186" s="4" t="str">
        <f>"44676"</f>
        <v>44676</v>
      </c>
      <c r="Q186" s="4" t="s">
        <v>52</v>
      </c>
      <c r="R186" s="6">
        <v>44196</v>
      </c>
      <c r="S186" s="4" t="s">
        <v>35</v>
      </c>
    </row>
    <row r="187" spans="1:19" s="3" customFormat="1" ht="43.2" x14ac:dyDescent="0.3">
      <c r="A187" s="4" t="str">
        <f>"CB002D08"</f>
        <v>CB002D08</v>
      </c>
      <c r="B187" s="4" t="s">
        <v>1428</v>
      </c>
      <c r="C187" s="4" t="s">
        <v>1429</v>
      </c>
      <c r="D187" s="4" t="s">
        <v>20</v>
      </c>
      <c r="E187" s="4" t="s">
        <v>1430</v>
      </c>
      <c r="F187" s="4" t="s">
        <v>74</v>
      </c>
      <c r="G187" s="4" t="s">
        <v>23</v>
      </c>
      <c r="H187" s="4" t="str">
        <f>"44681"</f>
        <v>44681</v>
      </c>
      <c r="I187" s="4" t="s">
        <v>24</v>
      </c>
      <c r="J187" s="4" t="str">
        <f>"(M) 330-852-9108"</f>
        <v>(M) 330-852-9108</v>
      </c>
      <c r="K187" s="4"/>
      <c r="L187" s="4" t="s">
        <v>1419</v>
      </c>
      <c r="M187" s="4" t="s">
        <v>1430</v>
      </c>
      <c r="N187" s="4" t="s">
        <v>74</v>
      </c>
      <c r="O187" s="4" t="s">
        <v>23</v>
      </c>
      <c r="P187" s="4" t="str">
        <f>"44681"</f>
        <v>44681</v>
      </c>
      <c r="Q187" s="4" t="s">
        <v>24</v>
      </c>
      <c r="R187" s="6">
        <v>44196</v>
      </c>
      <c r="S187" s="4" t="s">
        <v>35</v>
      </c>
    </row>
    <row r="188" spans="1:19" s="3" customFormat="1" ht="43.2" x14ac:dyDescent="0.3">
      <c r="A188" s="4" t="str">
        <f>"CB000XLB"</f>
        <v>CB000XLB</v>
      </c>
      <c r="B188" s="4"/>
      <c r="C188" s="4" t="s">
        <v>628</v>
      </c>
      <c r="D188" s="4" t="s">
        <v>38</v>
      </c>
      <c r="E188" s="4" t="s">
        <v>629</v>
      </c>
      <c r="F188" s="4" t="s">
        <v>40</v>
      </c>
      <c r="G188" s="4" t="s">
        <v>23</v>
      </c>
      <c r="H188" s="4" t="str">
        <f>"44654"</f>
        <v>44654</v>
      </c>
      <c r="I188" s="4" t="s">
        <v>24</v>
      </c>
      <c r="J188" s="4" t="str">
        <f>"(P) 330-674-1804"</f>
        <v>(P) 330-674-1804</v>
      </c>
      <c r="K188" s="4"/>
      <c r="L188" s="4" t="s">
        <v>476</v>
      </c>
      <c r="M188" s="4" t="s">
        <v>629</v>
      </c>
      <c r="N188" s="4" t="s">
        <v>40</v>
      </c>
      <c r="O188" s="4" t="s">
        <v>23</v>
      </c>
      <c r="P188" s="4" t="str">
        <f>"44654"</f>
        <v>44654</v>
      </c>
      <c r="Q188" s="4" t="s">
        <v>24</v>
      </c>
      <c r="R188" s="6">
        <v>44196</v>
      </c>
      <c r="S188" s="4" t="s">
        <v>76</v>
      </c>
    </row>
    <row r="189" spans="1:19" s="3" customFormat="1" ht="43.2" x14ac:dyDescent="0.3">
      <c r="A189" s="4" t="str">
        <f>"CB001Q5U"</f>
        <v>CB001Q5U</v>
      </c>
      <c r="B189" s="4" t="s">
        <v>1104</v>
      </c>
      <c r="C189" s="4" t="s">
        <v>628</v>
      </c>
      <c r="D189" s="4" t="s">
        <v>20</v>
      </c>
      <c r="E189" s="4" t="s">
        <v>1105</v>
      </c>
      <c r="F189" s="4" t="s">
        <v>111</v>
      </c>
      <c r="G189" s="4" t="s">
        <v>23</v>
      </c>
      <c r="H189" s="4" t="str">
        <f>"44627"</f>
        <v>44627</v>
      </c>
      <c r="I189" s="4" t="s">
        <v>24</v>
      </c>
      <c r="J189" s="4" t="str">
        <f>"(P) 330-695-5501"</f>
        <v>(P) 330-695-5501</v>
      </c>
      <c r="K189" s="4"/>
      <c r="L189" s="4" t="s">
        <v>1204</v>
      </c>
      <c r="M189" s="4" t="s">
        <v>1105</v>
      </c>
      <c r="N189" s="4" t="s">
        <v>111</v>
      </c>
      <c r="O189" s="4" t="s">
        <v>23</v>
      </c>
      <c r="P189" s="4" t="str">
        <f>"44627"</f>
        <v>44627</v>
      </c>
      <c r="Q189" s="4" t="s">
        <v>24</v>
      </c>
      <c r="R189" s="6">
        <v>44196</v>
      </c>
      <c r="S189" s="4" t="s">
        <v>46</v>
      </c>
    </row>
    <row r="190" spans="1:19" s="3" customFormat="1" ht="43.2" x14ac:dyDescent="0.3">
      <c r="A190" s="4" t="str">
        <f>"CB0005YR"</f>
        <v>CB0005YR</v>
      </c>
      <c r="B190" s="4" t="s">
        <v>355</v>
      </c>
      <c r="C190" s="4" t="s">
        <v>356</v>
      </c>
      <c r="D190" s="4" t="s">
        <v>357</v>
      </c>
      <c r="E190" s="4" t="s">
        <v>358</v>
      </c>
      <c r="F190" s="4" t="s">
        <v>359</v>
      </c>
      <c r="G190" s="4" t="s">
        <v>23</v>
      </c>
      <c r="H190" s="4" t="str">
        <f>"43502"</f>
        <v>43502</v>
      </c>
      <c r="I190" s="4" t="s">
        <v>360</v>
      </c>
      <c r="J190" s="4" t="str">
        <f>"(P) 419-208-4654"</f>
        <v>(P) 419-208-4654</v>
      </c>
      <c r="K190" s="4" t="s">
        <v>361</v>
      </c>
      <c r="L190" s="4" t="s">
        <v>1378</v>
      </c>
      <c r="M190" s="4" t="s">
        <v>358</v>
      </c>
      <c r="N190" s="4" t="s">
        <v>359</v>
      </c>
      <c r="O190" s="4" t="s">
        <v>23</v>
      </c>
      <c r="P190" s="4" t="str">
        <f>"43502"</f>
        <v>43502</v>
      </c>
      <c r="Q190" s="4" t="s">
        <v>360</v>
      </c>
      <c r="R190" s="6">
        <v>44196</v>
      </c>
      <c r="S190" s="4" t="s">
        <v>76</v>
      </c>
    </row>
    <row r="191" spans="1:19" s="3" customFormat="1" ht="43.2" x14ac:dyDescent="0.3">
      <c r="A191" s="4" t="str">
        <f>"CB001PPV"</f>
        <v>CB001PPV</v>
      </c>
      <c r="B191" s="4" t="s">
        <v>1084</v>
      </c>
      <c r="C191" s="4" t="s">
        <v>1085</v>
      </c>
      <c r="D191" s="4" t="s">
        <v>1086</v>
      </c>
      <c r="E191" s="4" t="s">
        <v>1087</v>
      </c>
      <c r="F191" s="4" t="s">
        <v>1088</v>
      </c>
      <c r="G191" s="4" t="s">
        <v>23</v>
      </c>
      <c r="H191" s="4" t="str">
        <f>"45002"</f>
        <v>45002</v>
      </c>
      <c r="I191" s="4" t="s">
        <v>1089</v>
      </c>
      <c r="J191" s="4" t="str">
        <f>"(P) 513-378-5184"</f>
        <v>(P) 513-378-5184</v>
      </c>
      <c r="K191" s="4" t="s">
        <v>1090</v>
      </c>
      <c r="L191" s="4" t="s">
        <v>634</v>
      </c>
      <c r="M191" s="4" t="s">
        <v>1087</v>
      </c>
      <c r="N191" s="4" t="s">
        <v>1088</v>
      </c>
      <c r="O191" s="4" t="s">
        <v>23</v>
      </c>
      <c r="P191" s="4" t="str">
        <f>"45002"</f>
        <v>45002</v>
      </c>
      <c r="Q191" s="4" t="s">
        <v>1089</v>
      </c>
      <c r="R191" s="6">
        <v>44196</v>
      </c>
      <c r="S191" s="4" t="s">
        <v>46</v>
      </c>
    </row>
    <row r="192" spans="1:19" s="3" customFormat="1" ht="43.2" x14ac:dyDescent="0.3">
      <c r="A192" s="4" t="str">
        <f>"CB001VDR"</f>
        <v>CB001VDR</v>
      </c>
      <c r="B192" s="4"/>
      <c r="C192" s="4" t="s">
        <v>1195</v>
      </c>
      <c r="D192" s="4" t="s">
        <v>847</v>
      </c>
      <c r="E192" s="4" t="s">
        <v>1196</v>
      </c>
      <c r="F192" s="4" t="s">
        <v>1197</v>
      </c>
      <c r="G192" s="4" t="s">
        <v>23</v>
      </c>
      <c r="H192" s="4" t="str">
        <f>"44622"</f>
        <v>44622</v>
      </c>
      <c r="I192" s="4" t="s">
        <v>66</v>
      </c>
      <c r="J192" s="4" t="str">
        <f>"(P) 330-473-8235"</f>
        <v>(P) 330-473-8235</v>
      </c>
      <c r="K192" s="4"/>
      <c r="L192" s="4" t="s">
        <v>791</v>
      </c>
      <c r="M192" s="4" t="s">
        <v>1196</v>
      </c>
      <c r="N192" s="4" t="s">
        <v>1197</v>
      </c>
      <c r="O192" s="4" t="s">
        <v>23</v>
      </c>
      <c r="P192" s="4" t="str">
        <f>"44622"</f>
        <v>44622</v>
      </c>
      <c r="Q192" s="4" t="s">
        <v>66</v>
      </c>
      <c r="R192" s="6">
        <v>44196</v>
      </c>
      <c r="S192" s="4" t="s">
        <v>46</v>
      </c>
    </row>
    <row r="193" spans="1:19" s="3" customFormat="1" ht="57.6" x14ac:dyDescent="0.3">
      <c r="A193" s="4" t="str">
        <f>"CB0003YZ"</f>
        <v>CB0003YZ</v>
      </c>
      <c r="B193" s="4" t="s">
        <v>247</v>
      </c>
      <c r="C193" s="4" t="s">
        <v>248</v>
      </c>
      <c r="D193" s="4" t="s">
        <v>249</v>
      </c>
      <c r="E193" s="4" t="s">
        <v>250</v>
      </c>
      <c r="F193" s="4" t="s">
        <v>251</v>
      </c>
      <c r="G193" s="4" t="s">
        <v>23</v>
      </c>
      <c r="H193" s="4" t="str">
        <f>"45304"</f>
        <v>45304</v>
      </c>
      <c r="I193" s="4" t="s">
        <v>252</v>
      </c>
      <c r="J193" s="4" t="str">
        <f>"(P) 937-947-1901 (F) 937-947-1900 (M) 937-564-2946"</f>
        <v>(P) 937-947-1901 (F) 937-947-1900 (M) 937-564-2946</v>
      </c>
      <c r="K193" s="4"/>
      <c r="L193" s="4" t="s">
        <v>668</v>
      </c>
      <c r="M193" s="4" t="s">
        <v>250</v>
      </c>
      <c r="N193" s="4" t="s">
        <v>251</v>
      </c>
      <c r="O193" s="4" t="s">
        <v>23</v>
      </c>
      <c r="P193" s="4" t="str">
        <f>"45304"</f>
        <v>45304</v>
      </c>
      <c r="Q193" s="4" t="s">
        <v>252</v>
      </c>
      <c r="R193" s="6">
        <v>44196</v>
      </c>
      <c r="S193" s="4" t="s">
        <v>26</v>
      </c>
    </row>
    <row r="194" spans="1:19" s="3" customFormat="1" ht="57.6" x14ac:dyDescent="0.3">
      <c r="A194" s="4" t="str">
        <f>"CB0004YV"</f>
        <v>CB0004YV</v>
      </c>
      <c r="B194" s="4"/>
      <c r="C194" s="4" t="s">
        <v>248</v>
      </c>
      <c r="D194" s="4" t="s">
        <v>285</v>
      </c>
      <c r="E194" s="4" t="s">
        <v>286</v>
      </c>
      <c r="F194" s="4" t="s">
        <v>287</v>
      </c>
      <c r="G194" s="4" t="s">
        <v>23</v>
      </c>
      <c r="H194" s="4" t="str">
        <f>"44865"</f>
        <v>44865</v>
      </c>
      <c r="I194" s="4" t="s">
        <v>88</v>
      </c>
      <c r="J194" s="4" t="str">
        <f>"(P) 419-896-3345 (F) 419-896-3345 (M) 567-224-3593"</f>
        <v>(P) 419-896-3345 (F) 419-896-3345 (M) 567-224-3593</v>
      </c>
      <c r="K194" s="4"/>
      <c r="L194" s="4" t="s">
        <v>1083</v>
      </c>
      <c r="M194" s="4" t="s">
        <v>286</v>
      </c>
      <c r="N194" s="4" t="s">
        <v>287</v>
      </c>
      <c r="O194" s="4" t="s">
        <v>23</v>
      </c>
      <c r="P194" s="4" t="str">
        <f>"44865"</f>
        <v>44865</v>
      </c>
      <c r="Q194" s="4" t="s">
        <v>88</v>
      </c>
      <c r="R194" s="6">
        <v>44196</v>
      </c>
      <c r="S194" s="4" t="s">
        <v>26</v>
      </c>
    </row>
    <row r="195" spans="1:19" s="3" customFormat="1" ht="43.2" x14ac:dyDescent="0.3">
      <c r="A195" s="4" t="str">
        <f>"CB000QVM"</f>
        <v>CB000QVM</v>
      </c>
      <c r="B195" s="4" t="s">
        <v>565</v>
      </c>
      <c r="C195" s="4" t="s">
        <v>248</v>
      </c>
      <c r="D195" s="4" t="s">
        <v>49</v>
      </c>
      <c r="E195" s="4" t="s">
        <v>566</v>
      </c>
      <c r="F195" s="4" t="s">
        <v>40</v>
      </c>
      <c r="G195" s="4" t="s">
        <v>23</v>
      </c>
      <c r="H195" s="4" t="str">
        <f>"44654"</f>
        <v>44654</v>
      </c>
      <c r="I195" s="4" t="s">
        <v>24</v>
      </c>
      <c r="J195" s="4" t="str">
        <f>"(M) 330-600-1910"</f>
        <v>(M) 330-600-1910</v>
      </c>
      <c r="K195" s="4"/>
      <c r="L195" s="4" t="s">
        <v>284</v>
      </c>
      <c r="M195" s="4" t="s">
        <v>566</v>
      </c>
      <c r="N195" s="4" t="s">
        <v>40</v>
      </c>
      <c r="O195" s="4" t="s">
        <v>23</v>
      </c>
      <c r="P195" s="4" t="str">
        <f>"44654"</f>
        <v>44654</v>
      </c>
      <c r="Q195" s="4" t="s">
        <v>24</v>
      </c>
      <c r="R195" s="6">
        <v>44196</v>
      </c>
      <c r="S195" s="4" t="s">
        <v>72</v>
      </c>
    </row>
    <row r="196" spans="1:19" s="3" customFormat="1" ht="43.2" x14ac:dyDescent="0.3">
      <c r="A196" s="4" t="str">
        <f>"CB000U2S"</f>
        <v>CB000U2S</v>
      </c>
      <c r="B196" s="4"/>
      <c r="C196" s="4" t="s">
        <v>248</v>
      </c>
      <c r="D196" s="4" t="s">
        <v>128</v>
      </c>
      <c r="E196" s="4" t="s">
        <v>580</v>
      </c>
      <c r="F196" s="4" t="s">
        <v>22</v>
      </c>
      <c r="G196" s="4" t="s">
        <v>23</v>
      </c>
      <c r="H196" s="4" t="str">
        <f>"43804"</f>
        <v>43804</v>
      </c>
      <c r="I196" s="4" t="s">
        <v>66</v>
      </c>
      <c r="J196" s="4" t="str">
        <f>"(P) 330-897-1438"</f>
        <v>(P) 330-897-1438</v>
      </c>
      <c r="K196" s="4"/>
      <c r="L196" s="4" t="s">
        <v>1012</v>
      </c>
      <c r="M196" s="4" t="s">
        <v>580</v>
      </c>
      <c r="N196" s="4" t="s">
        <v>22</v>
      </c>
      <c r="O196" s="4" t="s">
        <v>23</v>
      </c>
      <c r="P196" s="4" t="str">
        <f>"43804"</f>
        <v>43804</v>
      </c>
      <c r="Q196" s="4" t="s">
        <v>66</v>
      </c>
      <c r="R196" s="6">
        <v>44196</v>
      </c>
      <c r="S196" s="4" t="s">
        <v>76</v>
      </c>
    </row>
    <row r="197" spans="1:19" s="3" customFormat="1" ht="43.2" x14ac:dyDescent="0.3">
      <c r="A197" s="4" t="str">
        <f>"CB000U6J"</f>
        <v>CB000U6J</v>
      </c>
      <c r="B197" s="4" t="s">
        <v>207</v>
      </c>
      <c r="C197" s="4" t="s">
        <v>248</v>
      </c>
      <c r="D197" s="4" t="s">
        <v>588</v>
      </c>
      <c r="E197" s="4" t="s">
        <v>589</v>
      </c>
      <c r="F197" s="4" t="s">
        <v>585</v>
      </c>
      <c r="G197" s="4" t="s">
        <v>23</v>
      </c>
      <c r="H197" s="4" t="str">
        <f>"45640"</f>
        <v>45640</v>
      </c>
      <c r="I197" s="4" t="s">
        <v>586</v>
      </c>
      <c r="J197" s="4" t="str">
        <f>""</f>
        <v/>
      </c>
      <c r="K197" s="4"/>
      <c r="L197" s="4" t="s">
        <v>545</v>
      </c>
      <c r="M197" s="4" t="s">
        <v>589</v>
      </c>
      <c r="N197" s="4" t="s">
        <v>585</v>
      </c>
      <c r="O197" s="4" t="s">
        <v>23</v>
      </c>
      <c r="P197" s="4" t="str">
        <f>"45640"</f>
        <v>45640</v>
      </c>
      <c r="Q197" s="4" t="s">
        <v>586</v>
      </c>
      <c r="R197" s="6">
        <v>44196</v>
      </c>
      <c r="S197" s="4" t="s">
        <v>46</v>
      </c>
    </row>
    <row r="198" spans="1:19" s="3" customFormat="1" ht="43.2" x14ac:dyDescent="0.3">
      <c r="A198" s="4" t="str">
        <f>"CB001LBY"</f>
        <v>CB001LBY</v>
      </c>
      <c r="B198" s="4" t="s">
        <v>980</v>
      </c>
      <c r="C198" s="4" t="s">
        <v>248</v>
      </c>
      <c r="D198" s="4" t="s">
        <v>43</v>
      </c>
      <c r="E198" s="4" t="s">
        <v>981</v>
      </c>
      <c r="F198" s="4" t="s">
        <v>40</v>
      </c>
      <c r="G198" s="4" t="s">
        <v>23</v>
      </c>
      <c r="H198" s="4" t="str">
        <f>"44654"</f>
        <v>44654</v>
      </c>
      <c r="I198" s="4" t="s">
        <v>24</v>
      </c>
      <c r="J198" s="4" t="str">
        <f>"(P) 330-600-0528"</f>
        <v>(P) 330-600-0528</v>
      </c>
      <c r="K198" s="4"/>
      <c r="L198" s="4" t="s">
        <v>1294</v>
      </c>
      <c r="M198" s="4" t="s">
        <v>981</v>
      </c>
      <c r="N198" s="4" t="s">
        <v>40</v>
      </c>
      <c r="O198" s="4" t="s">
        <v>23</v>
      </c>
      <c r="P198" s="4" t="str">
        <f>"44654"</f>
        <v>44654</v>
      </c>
      <c r="Q198" s="4" t="s">
        <v>24</v>
      </c>
      <c r="R198" s="6">
        <v>44196</v>
      </c>
      <c r="S198" s="4" t="s">
        <v>76</v>
      </c>
    </row>
    <row r="199" spans="1:19" s="3" customFormat="1" ht="43.2" x14ac:dyDescent="0.3">
      <c r="A199" s="4" t="str">
        <f>"CB001QDC"</f>
        <v>CB001QDC</v>
      </c>
      <c r="B199" s="4"/>
      <c r="C199" s="4" t="s">
        <v>248</v>
      </c>
      <c r="D199" s="4" t="s">
        <v>20</v>
      </c>
      <c r="E199" s="4" t="s">
        <v>1112</v>
      </c>
      <c r="F199" s="4" t="s">
        <v>111</v>
      </c>
      <c r="G199" s="4" t="s">
        <v>23</v>
      </c>
      <c r="H199" s="4" t="str">
        <f>"44627"</f>
        <v>44627</v>
      </c>
      <c r="I199" s="4" t="s">
        <v>52</v>
      </c>
      <c r="J199" s="4" t="str">
        <f>"(P) 330-621-2131"</f>
        <v>(P) 330-621-2131</v>
      </c>
      <c r="K199" s="4"/>
      <c r="L199" s="4" t="s">
        <v>541</v>
      </c>
      <c r="M199" s="4" t="s">
        <v>1112</v>
      </c>
      <c r="N199" s="4" t="s">
        <v>111</v>
      </c>
      <c r="O199" s="4" t="s">
        <v>23</v>
      </c>
      <c r="P199" s="4" t="str">
        <f>"44627"</f>
        <v>44627</v>
      </c>
      <c r="Q199" s="4" t="s">
        <v>52</v>
      </c>
      <c r="R199" s="6">
        <v>44196</v>
      </c>
      <c r="S199" s="4" t="s">
        <v>46</v>
      </c>
    </row>
    <row r="200" spans="1:19" s="3" customFormat="1" ht="43.2" x14ac:dyDescent="0.3">
      <c r="A200" s="4" t="str">
        <f>"CB001TFV"</f>
        <v>CB001TFV</v>
      </c>
      <c r="B200" s="4"/>
      <c r="C200" s="4" t="s">
        <v>248</v>
      </c>
      <c r="D200" s="4" t="s">
        <v>864</v>
      </c>
      <c r="E200" s="4" t="s">
        <v>1167</v>
      </c>
      <c r="F200" s="4" t="s">
        <v>40</v>
      </c>
      <c r="G200" s="4" t="s">
        <v>23</v>
      </c>
      <c r="H200" s="4" t="str">
        <f>"44654"</f>
        <v>44654</v>
      </c>
      <c r="I200" s="4" t="s">
        <v>24</v>
      </c>
      <c r="J200" s="4" t="str">
        <f>"(P) 330-204-2088"</f>
        <v>(P) 330-204-2088</v>
      </c>
      <c r="K200" s="4"/>
      <c r="L200" s="4" t="s">
        <v>1438</v>
      </c>
      <c r="M200" s="4" t="s">
        <v>1167</v>
      </c>
      <c r="N200" s="4" t="s">
        <v>40</v>
      </c>
      <c r="O200" s="4" t="s">
        <v>23</v>
      </c>
      <c r="P200" s="4" t="str">
        <f>"44654"</f>
        <v>44654</v>
      </c>
      <c r="Q200" s="4" t="s">
        <v>24</v>
      </c>
      <c r="R200" s="6">
        <v>44196</v>
      </c>
      <c r="S200" s="4" t="s">
        <v>35</v>
      </c>
    </row>
    <row r="201" spans="1:19" s="3" customFormat="1" ht="43.2" x14ac:dyDescent="0.3">
      <c r="A201" s="4" t="str">
        <f>"CB001XYE"</f>
        <v>CB001XYE</v>
      </c>
      <c r="B201" s="4" t="s">
        <v>1220</v>
      </c>
      <c r="C201" s="4" t="s">
        <v>248</v>
      </c>
      <c r="D201" s="4" t="s">
        <v>43</v>
      </c>
      <c r="E201" s="4" t="s">
        <v>1221</v>
      </c>
      <c r="F201" s="4" t="s">
        <v>894</v>
      </c>
      <c r="G201" s="4" t="s">
        <v>23</v>
      </c>
      <c r="H201" s="4" t="str">
        <f>"44842"</f>
        <v>44842</v>
      </c>
      <c r="I201" s="4" t="s">
        <v>895</v>
      </c>
      <c r="J201" s="4" t="str">
        <f>"(P) 419-994-3805"</f>
        <v>(P) 419-994-3805</v>
      </c>
      <c r="K201" s="4"/>
      <c r="L201" s="4" t="s">
        <v>564</v>
      </c>
      <c r="M201" s="4" t="s">
        <v>1221</v>
      </c>
      <c r="N201" s="4" t="s">
        <v>894</v>
      </c>
      <c r="O201" s="4" t="s">
        <v>23</v>
      </c>
      <c r="P201" s="4" t="str">
        <f>"44842"</f>
        <v>44842</v>
      </c>
      <c r="Q201" s="4" t="s">
        <v>895</v>
      </c>
      <c r="R201" s="6">
        <v>44196</v>
      </c>
      <c r="S201" s="4" t="s">
        <v>46</v>
      </c>
    </row>
    <row r="202" spans="1:19" s="3" customFormat="1" ht="43.2" x14ac:dyDescent="0.3">
      <c r="A202" s="4" t="str">
        <f>"CB0025TK"</f>
        <v>CB0025TK</v>
      </c>
      <c r="B202" s="4"/>
      <c r="C202" s="4" t="s">
        <v>248</v>
      </c>
      <c r="D202" s="4" t="s">
        <v>59</v>
      </c>
      <c r="E202" s="4" t="s">
        <v>1259</v>
      </c>
      <c r="F202" s="4" t="s">
        <v>40</v>
      </c>
      <c r="G202" s="4" t="s">
        <v>23</v>
      </c>
      <c r="H202" s="4" t="str">
        <f>"44654"</f>
        <v>44654</v>
      </c>
      <c r="I202" s="4" t="s">
        <v>24</v>
      </c>
      <c r="J202" s="4" t="str">
        <f>"(P) 330-893-1510"</f>
        <v>(P) 330-893-1510</v>
      </c>
      <c r="K202" s="4" t="s">
        <v>1260</v>
      </c>
      <c r="L202" s="4" t="s">
        <v>1392</v>
      </c>
      <c r="M202" s="4" t="s">
        <v>1259</v>
      </c>
      <c r="N202" s="4" t="s">
        <v>40</v>
      </c>
      <c r="O202" s="4" t="s">
        <v>23</v>
      </c>
      <c r="P202" s="4" t="str">
        <f>"44654"</f>
        <v>44654</v>
      </c>
      <c r="Q202" s="4" t="s">
        <v>24</v>
      </c>
      <c r="R202" s="6">
        <v>44196</v>
      </c>
      <c r="S202" s="4" t="s">
        <v>46</v>
      </c>
    </row>
    <row r="203" spans="1:19" s="3" customFormat="1" ht="43.2" x14ac:dyDescent="0.3">
      <c r="A203" s="4" t="str">
        <f>"CB002AP7"</f>
        <v>CB002AP7</v>
      </c>
      <c r="B203" s="4"/>
      <c r="C203" s="4" t="s">
        <v>248</v>
      </c>
      <c r="D203" s="4" t="s">
        <v>270</v>
      </c>
      <c r="E203" s="4" t="s">
        <v>1338</v>
      </c>
      <c r="F203" s="4" t="s">
        <v>99</v>
      </c>
      <c r="G203" s="4" t="s">
        <v>23</v>
      </c>
      <c r="H203" s="4" t="str">
        <f>"43824"</f>
        <v>43824</v>
      </c>
      <c r="I203" s="4" t="s">
        <v>134</v>
      </c>
      <c r="J203" s="4" t="str">
        <f>"(P) 330-600-9358"</f>
        <v>(P) 330-600-9358</v>
      </c>
      <c r="K203" s="4"/>
      <c r="L203" s="4" t="s">
        <v>1147</v>
      </c>
      <c r="M203" s="4" t="s">
        <v>1338</v>
      </c>
      <c r="N203" s="4" t="s">
        <v>99</v>
      </c>
      <c r="O203" s="4" t="s">
        <v>23</v>
      </c>
      <c r="P203" s="4" t="str">
        <f>"43824"</f>
        <v>43824</v>
      </c>
      <c r="Q203" s="4" t="s">
        <v>134</v>
      </c>
      <c r="R203" s="6">
        <v>44196</v>
      </c>
      <c r="S203" s="4" t="s">
        <v>46</v>
      </c>
    </row>
    <row r="204" spans="1:19" s="3" customFormat="1" ht="43.2" x14ac:dyDescent="0.3">
      <c r="A204" s="4" t="str">
        <f>"CB002BCR"</f>
        <v>CB002BCR</v>
      </c>
      <c r="B204" s="4"/>
      <c r="C204" s="4" t="s">
        <v>1373</v>
      </c>
      <c r="D204" s="4" t="s">
        <v>43</v>
      </c>
      <c r="E204" s="4" t="s">
        <v>1374</v>
      </c>
      <c r="F204" s="4" t="s">
        <v>22</v>
      </c>
      <c r="G204" s="4" t="s">
        <v>23</v>
      </c>
      <c r="H204" s="4" t="str">
        <f>"43804"</f>
        <v>43804</v>
      </c>
      <c r="I204" s="4" t="s">
        <v>24</v>
      </c>
      <c r="J204" s="4" t="str">
        <f>"(P) 330-674-0799"</f>
        <v>(P) 330-674-0799</v>
      </c>
      <c r="K204" s="4"/>
      <c r="L204" s="4" t="s">
        <v>1244</v>
      </c>
      <c r="M204" s="4" t="s">
        <v>1374</v>
      </c>
      <c r="N204" s="4" t="s">
        <v>22</v>
      </c>
      <c r="O204" s="4" t="s">
        <v>23</v>
      </c>
      <c r="P204" s="4" t="str">
        <f>"43804"</f>
        <v>43804</v>
      </c>
      <c r="Q204" s="4" t="s">
        <v>24</v>
      </c>
      <c r="R204" s="6">
        <v>44196</v>
      </c>
      <c r="S204" s="4" t="s">
        <v>35</v>
      </c>
    </row>
    <row r="205" spans="1:19" s="3" customFormat="1" ht="43.2" x14ac:dyDescent="0.3">
      <c r="A205" s="4" t="str">
        <f>"CB0025NV"</f>
        <v>CB0025NV</v>
      </c>
      <c r="B205" s="4"/>
      <c r="C205" s="4" t="s">
        <v>1256</v>
      </c>
      <c r="D205" s="4" t="s">
        <v>502</v>
      </c>
      <c r="E205" s="4" t="s">
        <v>1257</v>
      </c>
      <c r="F205" s="4" t="s">
        <v>544</v>
      </c>
      <c r="G205" s="4" t="s">
        <v>23</v>
      </c>
      <c r="H205" s="4" t="str">
        <f>"43028"</f>
        <v>43028</v>
      </c>
      <c r="I205" s="4" t="s">
        <v>505</v>
      </c>
      <c r="J205" s="4" t="str">
        <f>"(P) 740-398-4993"</f>
        <v>(P) 740-398-4993</v>
      </c>
      <c r="K205" s="4"/>
      <c r="L205" s="4" t="s">
        <v>930</v>
      </c>
      <c r="M205" s="4" t="s">
        <v>1257</v>
      </c>
      <c r="N205" s="4" t="s">
        <v>544</v>
      </c>
      <c r="O205" s="4" t="s">
        <v>23</v>
      </c>
      <c r="P205" s="4" t="str">
        <f>"43028"</f>
        <v>43028</v>
      </c>
      <c r="Q205" s="4" t="s">
        <v>505</v>
      </c>
      <c r="R205" s="6">
        <v>44196</v>
      </c>
      <c r="S205" s="4" t="s">
        <v>35</v>
      </c>
    </row>
    <row r="206" spans="1:19" s="3" customFormat="1" ht="43.2" x14ac:dyDescent="0.3">
      <c r="A206" s="4" t="str">
        <f>"CB00070D"</f>
        <v>CB00070D</v>
      </c>
      <c r="B206" s="4"/>
      <c r="C206" s="4" t="s">
        <v>384</v>
      </c>
      <c r="D206" s="4" t="s">
        <v>43</v>
      </c>
      <c r="E206" s="4" t="s">
        <v>385</v>
      </c>
      <c r="F206" s="4" t="s">
        <v>22</v>
      </c>
      <c r="G206" s="4" t="s">
        <v>23</v>
      </c>
      <c r="H206" s="4" t="str">
        <f>"43804"</f>
        <v>43804</v>
      </c>
      <c r="I206" s="4" t="s">
        <v>24</v>
      </c>
      <c r="J206" s="4" t="str">
        <f>"(P) 330-897-1427"</f>
        <v>(P) 330-897-1427</v>
      </c>
      <c r="K206" s="4"/>
      <c r="L206" s="4" t="s">
        <v>300</v>
      </c>
      <c r="M206" s="4" t="s">
        <v>385</v>
      </c>
      <c r="N206" s="4" t="s">
        <v>22</v>
      </c>
      <c r="O206" s="4" t="s">
        <v>23</v>
      </c>
      <c r="P206" s="4" t="str">
        <f>"43804"</f>
        <v>43804</v>
      </c>
      <c r="Q206" s="4" t="s">
        <v>24</v>
      </c>
      <c r="R206" s="6">
        <v>44196</v>
      </c>
      <c r="S206" s="4" t="s">
        <v>72</v>
      </c>
    </row>
    <row r="207" spans="1:19" s="3" customFormat="1" ht="43.2" x14ac:dyDescent="0.3">
      <c r="A207" s="4" t="str">
        <f>"CB001MGJ"</f>
        <v>CB001MGJ</v>
      </c>
      <c r="B207" s="4"/>
      <c r="C207" s="4" t="s">
        <v>384</v>
      </c>
      <c r="D207" s="4" t="s">
        <v>43</v>
      </c>
      <c r="E207" s="4" t="s">
        <v>1023</v>
      </c>
      <c r="F207" s="4" t="s">
        <v>74</v>
      </c>
      <c r="G207" s="4" t="s">
        <v>23</v>
      </c>
      <c r="H207" s="4" t="str">
        <f>"44681"</f>
        <v>44681</v>
      </c>
      <c r="I207" s="4" t="s">
        <v>24</v>
      </c>
      <c r="J207" s="4" t="str">
        <f>"(P) 330-893-1361"</f>
        <v>(P) 330-893-1361</v>
      </c>
      <c r="K207" s="4"/>
      <c r="L207" s="4" t="s">
        <v>595</v>
      </c>
      <c r="M207" s="4" t="s">
        <v>1023</v>
      </c>
      <c r="N207" s="4" t="s">
        <v>74</v>
      </c>
      <c r="O207" s="4" t="s">
        <v>23</v>
      </c>
      <c r="P207" s="4" t="str">
        <f>"44681"</f>
        <v>44681</v>
      </c>
      <c r="Q207" s="4" t="s">
        <v>24</v>
      </c>
      <c r="R207" s="6">
        <v>44196</v>
      </c>
      <c r="S207" s="4" t="s">
        <v>46</v>
      </c>
    </row>
    <row r="208" spans="1:19" s="3" customFormat="1" ht="43.2" x14ac:dyDescent="0.3">
      <c r="A208" s="4" t="str">
        <f>"CB001NVM"</f>
        <v>CB001NVM</v>
      </c>
      <c r="B208" s="4"/>
      <c r="C208" s="4" t="s">
        <v>384</v>
      </c>
      <c r="D208" s="4" t="s">
        <v>20</v>
      </c>
      <c r="E208" s="4" t="s">
        <v>1049</v>
      </c>
      <c r="F208" s="4" t="s">
        <v>40</v>
      </c>
      <c r="G208" s="4" t="s">
        <v>23</v>
      </c>
      <c r="H208" s="4" t="str">
        <f>"44654"</f>
        <v>44654</v>
      </c>
      <c r="I208" s="4" t="s">
        <v>24</v>
      </c>
      <c r="J208" s="4" t="str">
        <f>"(P) 330-893-1951"</f>
        <v>(P) 330-893-1951</v>
      </c>
      <c r="K208" s="4"/>
      <c r="L208" s="4" t="s">
        <v>1360</v>
      </c>
      <c r="M208" s="4" t="s">
        <v>1051</v>
      </c>
      <c r="N208" s="4" t="s">
        <v>40</v>
      </c>
      <c r="O208" s="4" t="s">
        <v>23</v>
      </c>
      <c r="P208" s="4" t="str">
        <f>"44654"</f>
        <v>44654</v>
      </c>
      <c r="Q208" s="4" t="s">
        <v>24</v>
      </c>
      <c r="R208" s="6">
        <v>44196</v>
      </c>
      <c r="S208" s="4" t="s">
        <v>46</v>
      </c>
    </row>
    <row r="209" spans="1:19" s="3" customFormat="1" ht="43.2" x14ac:dyDescent="0.3">
      <c r="A209" s="4" t="str">
        <f>"CB000UMM"</f>
        <v>CB000UMM</v>
      </c>
      <c r="B209" s="4" t="s">
        <v>599</v>
      </c>
      <c r="C209" s="4" t="s">
        <v>600</v>
      </c>
      <c r="D209" s="4" t="s">
        <v>601</v>
      </c>
      <c r="E209" s="4" t="s">
        <v>602</v>
      </c>
      <c r="F209" s="4" t="s">
        <v>603</v>
      </c>
      <c r="G209" s="4" t="s">
        <v>23</v>
      </c>
      <c r="H209" s="4" t="str">
        <f>"45693"</f>
        <v>45693</v>
      </c>
      <c r="I209" s="4" t="s">
        <v>604</v>
      </c>
      <c r="J209" s="4" t="str">
        <f>"(F) 937-779-2648 (M) 937-798-9034"</f>
        <v>(F) 937-779-2648 (M) 937-798-9034</v>
      </c>
      <c r="K209" s="4" t="s">
        <v>605</v>
      </c>
      <c r="L209" s="4" t="s">
        <v>1303</v>
      </c>
      <c r="M209" s="4" t="s">
        <v>602</v>
      </c>
      <c r="N209" s="4" t="s">
        <v>603</v>
      </c>
      <c r="O209" s="4" t="s">
        <v>23</v>
      </c>
      <c r="P209" s="4" t="str">
        <f>"45693"</f>
        <v>45693</v>
      </c>
      <c r="Q209" s="4" t="s">
        <v>604</v>
      </c>
      <c r="R209" s="6">
        <v>44196</v>
      </c>
      <c r="S209" s="4" t="s">
        <v>76</v>
      </c>
    </row>
    <row r="210" spans="1:19" s="3" customFormat="1" ht="43.2" x14ac:dyDescent="0.3">
      <c r="A210" s="4" t="str">
        <f>"CB002BTW"</f>
        <v>CB002BTW</v>
      </c>
      <c r="B210" s="4"/>
      <c r="C210" s="4" t="s">
        <v>600</v>
      </c>
      <c r="D210" s="4" t="s">
        <v>43</v>
      </c>
      <c r="E210" s="4" t="s">
        <v>1393</v>
      </c>
      <c r="F210" s="4" t="s">
        <v>40</v>
      </c>
      <c r="G210" s="4" t="s">
        <v>23</v>
      </c>
      <c r="H210" s="4" t="str">
        <f>"44654"</f>
        <v>44654</v>
      </c>
      <c r="I210" s="4" t="s">
        <v>24</v>
      </c>
      <c r="J210" s="4" t="str">
        <f>"(M) 330-763-0346"</f>
        <v>(M) 330-763-0346</v>
      </c>
      <c r="K210" s="4"/>
      <c r="L210" s="4" t="s">
        <v>553</v>
      </c>
      <c r="M210" s="4" t="s">
        <v>1393</v>
      </c>
      <c r="N210" s="4" t="s">
        <v>40</v>
      </c>
      <c r="O210" s="4" t="s">
        <v>23</v>
      </c>
      <c r="P210" s="4" t="str">
        <f>"44654"</f>
        <v>44654</v>
      </c>
      <c r="Q210" s="4" t="s">
        <v>24</v>
      </c>
      <c r="R210" s="6">
        <v>44196</v>
      </c>
      <c r="S210" s="4" t="s">
        <v>35</v>
      </c>
    </row>
    <row r="211" spans="1:19" s="3" customFormat="1" ht="43.2" x14ac:dyDescent="0.3">
      <c r="A211" s="4" t="str">
        <f>"CB00037F"</f>
        <v>CB00037F</v>
      </c>
      <c r="B211" s="4" t="s">
        <v>211</v>
      </c>
      <c r="C211" s="4" t="s">
        <v>212</v>
      </c>
      <c r="D211" s="4" t="s">
        <v>20</v>
      </c>
      <c r="E211" s="4" t="s">
        <v>213</v>
      </c>
      <c r="F211" s="4" t="s">
        <v>174</v>
      </c>
      <c r="G211" s="4" t="s">
        <v>23</v>
      </c>
      <c r="H211" s="4" t="str">
        <f>"44676"</f>
        <v>44676</v>
      </c>
      <c r="I211" s="4" t="s">
        <v>24</v>
      </c>
      <c r="J211" s="4" t="str">
        <f>"(P) 330-567-2757"</f>
        <v>(P) 330-567-2757</v>
      </c>
      <c r="K211" s="4"/>
      <c r="L211" s="4" t="s">
        <v>813</v>
      </c>
      <c r="M211" s="4" t="s">
        <v>215</v>
      </c>
      <c r="N211" s="4" t="s">
        <v>174</v>
      </c>
      <c r="O211" s="4" t="s">
        <v>23</v>
      </c>
      <c r="P211" s="4" t="str">
        <f>"44676"</f>
        <v>44676</v>
      </c>
      <c r="Q211" s="4" t="s">
        <v>24</v>
      </c>
      <c r="R211" s="6">
        <v>44196</v>
      </c>
      <c r="S211" s="4" t="s">
        <v>46</v>
      </c>
    </row>
    <row r="212" spans="1:19" s="3" customFormat="1" ht="43.2" x14ac:dyDescent="0.3">
      <c r="A212" s="4" t="str">
        <f>"CB001RZ1"</f>
        <v>CB001RZ1</v>
      </c>
      <c r="B212" s="4"/>
      <c r="C212" s="4" t="s">
        <v>212</v>
      </c>
      <c r="D212" s="4" t="s">
        <v>502</v>
      </c>
      <c r="E212" s="4" t="s">
        <v>1143</v>
      </c>
      <c r="F212" s="4" t="s">
        <v>608</v>
      </c>
      <c r="G212" s="4" t="s">
        <v>23</v>
      </c>
      <c r="H212" s="4" t="str">
        <f>"44633"</f>
        <v>44633</v>
      </c>
      <c r="I212" s="4" t="s">
        <v>24</v>
      </c>
      <c r="J212" s="4" t="str">
        <f>"(F) 330-279-2212 (M) 330-621-8360"</f>
        <v>(F) 330-279-2212 (M) 330-621-8360</v>
      </c>
      <c r="K212" s="4"/>
      <c r="L212" s="4" t="s">
        <v>185</v>
      </c>
      <c r="M212" s="4" t="s">
        <v>1143</v>
      </c>
      <c r="N212" s="4" t="s">
        <v>608</v>
      </c>
      <c r="O212" s="4" t="s">
        <v>23</v>
      </c>
      <c r="P212" s="4" t="str">
        <f>"44633"</f>
        <v>44633</v>
      </c>
      <c r="Q212" s="4" t="s">
        <v>24</v>
      </c>
      <c r="R212" s="6">
        <v>44196</v>
      </c>
      <c r="S212" s="4" t="s">
        <v>35</v>
      </c>
    </row>
    <row r="213" spans="1:19" s="3" customFormat="1" ht="43.2" x14ac:dyDescent="0.3">
      <c r="A213" s="4" t="str">
        <f>"CB0001QN"</f>
        <v>CB0001QN</v>
      </c>
      <c r="B213" s="4"/>
      <c r="C213" s="4" t="s">
        <v>124</v>
      </c>
      <c r="D213" s="4" t="s">
        <v>43</v>
      </c>
      <c r="E213" s="4" t="s">
        <v>125</v>
      </c>
      <c r="F213" s="4" t="s">
        <v>111</v>
      </c>
      <c r="G213" s="4" t="s">
        <v>23</v>
      </c>
      <c r="H213" s="4" t="str">
        <f>"44627"</f>
        <v>44627</v>
      </c>
      <c r="I213" s="4" t="s">
        <v>24</v>
      </c>
      <c r="J213" s="4" t="str">
        <f>"(P) 330-473-3216"</f>
        <v>(P) 330-473-3216</v>
      </c>
      <c r="K213" s="4"/>
      <c r="L213" s="4" t="s">
        <v>1365</v>
      </c>
      <c r="M213" s="4" t="s">
        <v>125</v>
      </c>
      <c r="N213" s="4" t="s">
        <v>111</v>
      </c>
      <c r="O213" s="4" t="s">
        <v>23</v>
      </c>
      <c r="P213" s="4" t="str">
        <f>"44627"</f>
        <v>44627</v>
      </c>
      <c r="Q213" s="4" t="s">
        <v>24</v>
      </c>
      <c r="R213" s="6">
        <v>44196</v>
      </c>
      <c r="S213" s="4" t="s">
        <v>46</v>
      </c>
    </row>
    <row r="214" spans="1:19" s="3" customFormat="1" ht="43.2" x14ac:dyDescent="0.3">
      <c r="A214" s="4" t="str">
        <f>"CB00036H"</f>
        <v>CB00036H</v>
      </c>
      <c r="B214" s="4" t="s">
        <v>207</v>
      </c>
      <c r="C214" s="4" t="s">
        <v>124</v>
      </c>
      <c r="D214" s="4" t="s">
        <v>43</v>
      </c>
      <c r="E214" s="4" t="s">
        <v>208</v>
      </c>
      <c r="F214" s="4" t="s">
        <v>105</v>
      </c>
      <c r="G214" s="4" t="s">
        <v>23</v>
      </c>
      <c r="H214" s="4" t="str">
        <f>"44617"</f>
        <v>44617</v>
      </c>
      <c r="I214" s="4" t="s">
        <v>24</v>
      </c>
      <c r="J214" s="4" t="str">
        <f>"(P) 330-600-1589 (F) 330-473-1669"</f>
        <v>(P) 330-600-1589 (F) 330-473-1669</v>
      </c>
      <c r="K214" s="4"/>
      <c r="L214" s="4" t="s">
        <v>579</v>
      </c>
      <c r="M214" s="4" t="s">
        <v>210</v>
      </c>
      <c r="N214" s="4" t="s">
        <v>40</v>
      </c>
      <c r="O214" s="4" t="s">
        <v>23</v>
      </c>
      <c r="P214" s="4" t="str">
        <f>"44654"</f>
        <v>44654</v>
      </c>
      <c r="Q214" s="4" t="s">
        <v>24</v>
      </c>
      <c r="R214" s="6">
        <v>44196</v>
      </c>
      <c r="S214" s="4" t="s">
        <v>46</v>
      </c>
    </row>
    <row r="215" spans="1:19" s="3" customFormat="1" ht="43.2" x14ac:dyDescent="0.3">
      <c r="A215" s="4" t="str">
        <f>"CB000809"</f>
        <v>CB000809</v>
      </c>
      <c r="B215" s="4"/>
      <c r="C215" s="4" t="s">
        <v>124</v>
      </c>
      <c r="D215" s="4" t="s">
        <v>128</v>
      </c>
      <c r="E215" s="4" t="s">
        <v>425</v>
      </c>
      <c r="F215" s="4" t="s">
        <v>22</v>
      </c>
      <c r="G215" s="4" t="s">
        <v>23</v>
      </c>
      <c r="H215" s="4" t="str">
        <f>"43804"</f>
        <v>43804</v>
      </c>
      <c r="I215" s="4" t="s">
        <v>24</v>
      </c>
      <c r="J215" s="4" t="str">
        <f>"(P) 330-897-0083"</f>
        <v>(P) 330-897-0083</v>
      </c>
      <c r="K215" s="4"/>
      <c r="L215" s="4" t="s">
        <v>899</v>
      </c>
      <c r="M215" s="4" t="s">
        <v>425</v>
      </c>
      <c r="N215" s="4" t="s">
        <v>22</v>
      </c>
      <c r="O215" s="4" t="s">
        <v>23</v>
      </c>
      <c r="P215" s="4" t="str">
        <f>"43804"</f>
        <v>43804</v>
      </c>
      <c r="Q215" s="4" t="s">
        <v>24</v>
      </c>
      <c r="R215" s="6">
        <v>44196</v>
      </c>
      <c r="S215" s="4" t="s">
        <v>72</v>
      </c>
    </row>
    <row r="216" spans="1:19" s="3" customFormat="1" ht="43.2" x14ac:dyDescent="0.3">
      <c r="A216" s="4" t="str">
        <f>"CB000UC6"</f>
        <v>CB000UC6</v>
      </c>
      <c r="B216" s="4"/>
      <c r="C216" s="4" t="s">
        <v>124</v>
      </c>
      <c r="D216" s="4" t="s">
        <v>20</v>
      </c>
      <c r="E216" s="4" t="s">
        <v>591</v>
      </c>
      <c r="F216" s="4" t="s">
        <v>40</v>
      </c>
      <c r="G216" s="4" t="s">
        <v>23</v>
      </c>
      <c r="H216" s="4" t="str">
        <f>"44654"</f>
        <v>44654</v>
      </c>
      <c r="I216" s="4" t="s">
        <v>134</v>
      </c>
      <c r="J216" s="4" t="str">
        <f>"(M) 740-622-1752"</f>
        <v>(M) 740-622-1752</v>
      </c>
      <c r="K216" s="4"/>
      <c r="L216" s="4" t="s">
        <v>61</v>
      </c>
      <c r="M216" s="4" t="s">
        <v>591</v>
      </c>
      <c r="N216" s="4" t="s">
        <v>40</v>
      </c>
      <c r="O216" s="4" t="s">
        <v>23</v>
      </c>
      <c r="P216" s="4" t="str">
        <f>"44654"</f>
        <v>44654</v>
      </c>
      <c r="Q216" s="4" t="s">
        <v>134</v>
      </c>
      <c r="R216" s="6">
        <v>44196</v>
      </c>
      <c r="S216" s="4" t="s">
        <v>72</v>
      </c>
    </row>
    <row r="217" spans="1:19" s="3" customFormat="1" ht="43.2" x14ac:dyDescent="0.3">
      <c r="A217" s="4" t="str">
        <f>"CB0016CL"</f>
        <v>CB0016CL</v>
      </c>
      <c r="B217" s="4"/>
      <c r="C217" s="4" t="s">
        <v>124</v>
      </c>
      <c r="D217" s="4" t="s">
        <v>20</v>
      </c>
      <c r="E217" s="4" t="s">
        <v>740</v>
      </c>
      <c r="F217" s="4" t="s">
        <v>40</v>
      </c>
      <c r="G217" s="4" t="s">
        <v>23</v>
      </c>
      <c r="H217" s="4" t="str">
        <f>"44654"</f>
        <v>44654</v>
      </c>
      <c r="I217" s="4" t="s">
        <v>24</v>
      </c>
      <c r="J217" s="4" t="str">
        <f>"(M) 330-674-0960"</f>
        <v>(M) 330-674-0960</v>
      </c>
      <c r="K217" s="4"/>
      <c r="L217" s="4" t="s">
        <v>933</v>
      </c>
      <c r="M217" s="4" t="s">
        <v>740</v>
      </c>
      <c r="N217" s="4" t="s">
        <v>40</v>
      </c>
      <c r="O217" s="4" t="s">
        <v>23</v>
      </c>
      <c r="P217" s="4" t="str">
        <f>"44654"</f>
        <v>44654</v>
      </c>
      <c r="Q217" s="4" t="s">
        <v>24</v>
      </c>
      <c r="R217" s="6">
        <v>44196</v>
      </c>
      <c r="S217" s="4" t="s">
        <v>46</v>
      </c>
    </row>
    <row r="218" spans="1:19" s="3" customFormat="1" ht="57.6" x14ac:dyDescent="0.3">
      <c r="A218" s="4" t="str">
        <f>"CB0018X7"</f>
        <v>CB0018X7</v>
      </c>
      <c r="B218" s="4" t="s">
        <v>801</v>
      </c>
      <c r="C218" s="4" t="s">
        <v>124</v>
      </c>
      <c r="D218" s="4" t="s">
        <v>20</v>
      </c>
      <c r="E218" s="4" t="s">
        <v>802</v>
      </c>
      <c r="F218" s="4" t="s">
        <v>51</v>
      </c>
      <c r="G218" s="4" t="s">
        <v>23</v>
      </c>
      <c r="H218" s="4" t="str">
        <f>"44606"</f>
        <v>44606</v>
      </c>
      <c r="I218" s="4" t="s">
        <v>52</v>
      </c>
      <c r="J218" s="4" t="str">
        <f>"(P) 330-674-1945 (F) 330-674-3969 (M) 330-600-1296"</f>
        <v>(P) 330-674-1945 (F) 330-674-3969 (M) 330-600-1296</v>
      </c>
      <c r="K218" s="4"/>
      <c r="L218" s="4" t="s">
        <v>1100</v>
      </c>
      <c r="M218" s="4" t="s">
        <v>802</v>
      </c>
      <c r="N218" s="4" t="s">
        <v>51</v>
      </c>
      <c r="O218" s="4" t="s">
        <v>23</v>
      </c>
      <c r="P218" s="4" t="str">
        <f>"44606"</f>
        <v>44606</v>
      </c>
      <c r="Q218" s="4" t="s">
        <v>52</v>
      </c>
      <c r="R218" s="6">
        <v>44196</v>
      </c>
      <c r="S218" s="4" t="s">
        <v>46</v>
      </c>
    </row>
    <row r="219" spans="1:19" s="3" customFormat="1" ht="43.2" x14ac:dyDescent="0.3">
      <c r="A219" s="4" t="str">
        <f>"CB001L1H"</f>
        <v>CB001L1H</v>
      </c>
      <c r="B219" s="4" t="s">
        <v>971</v>
      </c>
      <c r="C219" s="4" t="s">
        <v>124</v>
      </c>
      <c r="D219" s="4" t="s">
        <v>20</v>
      </c>
      <c r="E219" s="4" t="s">
        <v>972</v>
      </c>
      <c r="F219" s="4" t="s">
        <v>40</v>
      </c>
      <c r="G219" s="4" t="s">
        <v>23</v>
      </c>
      <c r="H219" s="4" t="str">
        <f>"44654"</f>
        <v>44654</v>
      </c>
      <c r="I219" s="4" t="s">
        <v>24</v>
      </c>
      <c r="J219" s="4" t="str">
        <f>"(M) 330-473-5628"</f>
        <v>(M) 330-473-5628</v>
      </c>
      <c r="K219" s="4" t="s">
        <v>973</v>
      </c>
      <c r="L219" s="4" t="s">
        <v>1261</v>
      </c>
      <c r="M219" s="4" t="s">
        <v>972</v>
      </c>
      <c r="N219" s="4" t="s">
        <v>40</v>
      </c>
      <c r="O219" s="4" t="s">
        <v>23</v>
      </c>
      <c r="P219" s="4" t="str">
        <f>"44654"</f>
        <v>44654</v>
      </c>
      <c r="Q219" s="4" t="s">
        <v>24</v>
      </c>
      <c r="R219" s="6">
        <v>44196</v>
      </c>
      <c r="S219" s="4" t="s">
        <v>46</v>
      </c>
    </row>
    <row r="220" spans="1:19" s="3" customFormat="1" ht="43.2" x14ac:dyDescent="0.3">
      <c r="A220" s="4" t="str">
        <f>"CB001LTZ"</f>
        <v>CB001LTZ</v>
      </c>
      <c r="B220" s="4"/>
      <c r="C220" s="4" t="s">
        <v>124</v>
      </c>
      <c r="D220" s="4" t="s">
        <v>20</v>
      </c>
      <c r="E220" s="4" t="s">
        <v>994</v>
      </c>
      <c r="F220" s="4" t="s">
        <v>111</v>
      </c>
      <c r="G220" s="4" t="s">
        <v>23</v>
      </c>
      <c r="H220" s="4" t="str">
        <f>"44627"</f>
        <v>44627</v>
      </c>
      <c r="I220" s="4" t="s">
        <v>24</v>
      </c>
      <c r="J220" s="4" t="str">
        <f>"(P) 330-359-2914 (F) 330-698-3200"</f>
        <v>(P) 330-359-2914 (F) 330-698-3200</v>
      </c>
      <c r="K220" s="4"/>
      <c r="L220" s="4" t="s">
        <v>1031</v>
      </c>
      <c r="M220" s="4" t="s">
        <v>994</v>
      </c>
      <c r="N220" s="4" t="s">
        <v>111</v>
      </c>
      <c r="O220" s="4" t="s">
        <v>23</v>
      </c>
      <c r="P220" s="4" t="str">
        <f>"44627"</f>
        <v>44627</v>
      </c>
      <c r="Q220" s="4" t="s">
        <v>24</v>
      </c>
      <c r="R220" s="6">
        <v>44196</v>
      </c>
      <c r="S220" s="4" t="s">
        <v>35</v>
      </c>
    </row>
    <row r="221" spans="1:19" s="3" customFormat="1" ht="43.2" x14ac:dyDescent="0.3">
      <c r="A221" s="4" t="str">
        <f>"CB001MP4"</f>
        <v>CB001MP4</v>
      </c>
      <c r="B221" s="4" t="s">
        <v>1029</v>
      </c>
      <c r="C221" s="4" t="s">
        <v>124</v>
      </c>
      <c r="D221" s="4" t="s">
        <v>59</v>
      </c>
      <c r="E221" s="4" t="s">
        <v>1030</v>
      </c>
      <c r="F221" s="4" t="s">
        <v>22</v>
      </c>
      <c r="G221" s="4" t="s">
        <v>23</v>
      </c>
      <c r="H221" s="4" t="str">
        <f>"43804"</f>
        <v>43804</v>
      </c>
      <c r="I221" s="4" t="s">
        <v>24</v>
      </c>
      <c r="J221" s="4" t="str">
        <f>"(P) 330-473-8955"</f>
        <v>(P) 330-473-8955</v>
      </c>
      <c r="K221" s="4"/>
      <c r="L221" s="4" t="s">
        <v>1132</v>
      </c>
      <c r="M221" s="4" t="s">
        <v>1030</v>
      </c>
      <c r="N221" s="4" t="s">
        <v>22</v>
      </c>
      <c r="O221" s="4" t="s">
        <v>23</v>
      </c>
      <c r="P221" s="4" t="str">
        <f>"43804"</f>
        <v>43804</v>
      </c>
      <c r="Q221" s="4" t="s">
        <v>24</v>
      </c>
      <c r="R221" s="6">
        <v>44196</v>
      </c>
      <c r="S221" s="4" t="s">
        <v>46</v>
      </c>
    </row>
    <row r="222" spans="1:19" s="3" customFormat="1" ht="43.2" x14ac:dyDescent="0.3">
      <c r="A222" s="4" t="str">
        <f>"CB001QVD"</f>
        <v>CB001QVD</v>
      </c>
      <c r="B222" s="4" t="s">
        <v>1128</v>
      </c>
      <c r="C222" s="4" t="s">
        <v>124</v>
      </c>
      <c r="D222" s="4" t="s">
        <v>43</v>
      </c>
      <c r="E222" s="4" t="s">
        <v>1129</v>
      </c>
      <c r="F222" s="4" t="s">
        <v>40</v>
      </c>
      <c r="G222" s="4" t="s">
        <v>23</v>
      </c>
      <c r="H222" s="4" t="str">
        <f>"44654"</f>
        <v>44654</v>
      </c>
      <c r="I222" s="4" t="s">
        <v>24</v>
      </c>
      <c r="J222" s="4" t="str">
        <f>"(P) 330-600-7399"</f>
        <v>(P) 330-600-7399</v>
      </c>
      <c r="K222" s="4"/>
      <c r="L222" s="4" t="s">
        <v>118</v>
      </c>
      <c r="M222" s="4" t="s">
        <v>1129</v>
      </c>
      <c r="N222" s="4" t="s">
        <v>40</v>
      </c>
      <c r="O222" s="4" t="s">
        <v>23</v>
      </c>
      <c r="P222" s="4" t="str">
        <f>"44654"</f>
        <v>44654</v>
      </c>
      <c r="Q222" s="4" t="s">
        <v>24</v>
      </c>
      <c r="R222" s="6">
        <v>44196</v>
      </c>
      <c r="S222" s="4" t="s">
        <v>46</v>
      </c>
    </row>
    <row r="223" spans="1:19" s="3" customFormat="1" ht="43.2" x14ac:dyDescent="0.3">
      <c r="A223" s="4" t="str">
        <f>"CB002B64"</f>
        <v>CB002B64</v>
      </c>
      <c r="B223" s="4"/>
      <c r="C223" s="4" t="s">
        <v>124</v>
      </c>
      <c r="D223" s="4" t="s">
        <v>43</v>
      </c>
      <c r="E223" s="4" t="s">
        <v>1366</v>
      </c>
      <c r="F223" s="4" t="s">
        <v>22</v>
      </c>
      <c r="G223" s="4" t="s">
        <v>23</v>
      </c>
      <c r="H223" s="4" t="str">
        <f>"43804"</f>
        <v>43804</v>
      </c>
      <c r="I223" s="4" t="s">
        <v>24</v>
      </c>
      <c r="J223" s="4" t="str">
        <f>"(P) 330-897-5107"</f>
        <v>(P) 330-897-5107</v>
      </c>
      <c r="K223" s="4"/>
      <c r="L223" s="4" t="s">
        <v>192</v>
      </c>
      <c r="M223" s="4" t="s">
        <v>1366</v>
      </c>
      <c r="N223" s="4" t="s">
        <v>22</v>
      </c>
      <c r="O223" s="4" t="s">
        <v>23</v>
      </c>
      <c r="P223" s="4" t="str">
        <f>"43804"</f>
        <v>43804</v>
      </c>
      <c r="Q223" s="4" t="s">
        <v>24</v>
      </c>
      <c r="R223" s="6">
        <v>44196</v>
      </c>
      <c r="S223" s="4" t="s">
        <v>76</v>
      </c>
    </row>
    <row r="224" spans="1:19" s="3" customFormat="1" ht="43.2" x14ac:dyDescent="0.3">
      <c r="A224" s="4" t="str">
        <f>"CB002DAM"</f>
        <v>CB002DAM</v>
      </c>
      <c r="B224" s="4"/>
      <c r="C224" s="4" t="s">
        <v>124</v>
      </c>
      <c r="D224" s="4" t="s">
        <v>539</v>
      </c>
      <c r="E224" s="4" t="s">
        <v>1437</v>
      </c>
      <c r="F224" s="4" t="s">
        <v>51</v>
      </c>
      <c r="G224" s="4" t="s">
        <v>23</v>
      </c>
      <c r="H224" s="4" t="str">
        <f>"44606"</f>
        <v>44606</v>
      </c>
      <c r="I224" s="4" t="s">
        <v>52</v>
      </c>
      <c r="J224" s="4" t="str">
        <f>"(P) 330-600-0560"</f>
        <v>(P) 330-600-0560</v>
      </c>
      <c r="K224" s="4"/>
      <c r="L224" s="4" t="s">
        <v>266</v>
      </c>
      <c r="M224" s="4" t="s">
        <v>1437</v>
      </c>
      <c r="N224" s="4" t="s">
        <v>51</v>
      </c>
      <c r="O224" s="4" t="s">
        <v>23</v>
      </c>
      <c r="P224" s="4" t="str">
        <f>"44606"</f>
        <v>44606</v>
      </c>
      <c r="Q224" s="4" t="s">
        <v>52</v>
      </c>
      <c r="R224" s="6">
        <v>44196</v>
      </c>
      <c r="S224" s="4" t="s">
        <v>46</v>
      </c>
    </row>
    <row r="225" spans="1:19" s="3" customFormat="1" ht="57.6" x14ac:dyDescent="0.3">
      <c r="A225" s="4" t="str">
        <f>"CB0015BS"</f>
        <v>CB0015BS</v>
      </c>
      <c r="B225" s="4"/>
      <c r="C225" s="4" t="s">
        <v>718</v>
      </c>
      <c r="D225" s="4" t="s">
        <v>719</v>
      </c>
      <c r="E225" s="4" t="s">
        <v>720</v>
      </c>
      <c r="F225" s="4" t="s">
        <v>721</v>
      </c>
      <c r="G225" s="4" t="s">
        <v>23</v>
      </c>
      <c r="H225" s="4" t="str">
        <f>"45308"</f>
        <v>45308</v>
      </c>
      <c r="I225" s="4" t="s">
        <v>252</v>
      </c>
      <c r="J225" s="4" t="str">
        <f>"(P) 937-448-2274 (F) 937-448-2533 (M) 937-417-2801"</f>
        <v>(P) 937-448-2274 (F) 937-448-2533 (M) 937-417-2801</v>
      </c>
      <c r="K225" s="4"/>
      <c r="L225" s="4" t="s">
        <v>1115</v>
      </c>
      <c r="M225" s="4" t="s">
        <v>720</v>
      </c>
      <c r="N225" s="4" t="s">
        <v>721</v>
      </c>
      <c r="O225" s="4" t="s">
        <v>23</v>
      </c>
      <c r="P225" s="4" t="str">
        <f>"45308"</f>
        <v>45308</v>
      </c>
      <c r="Q225" s="4" t="s">
        <v>252</v>
      </c>
      <c r="R225" s="6">
        <v>44196</v>
      </c>
      <c r="S225" s="4" t="s">
        <v>72</v>
      </c>
    </row>
    <row r="226" spans="1:19" s="3" customFormat="1" ht="43.2" x14ac:dyDescent="0.3">
      <c r="A226" s="4" t="str">
        <f>"CB000ZQW"</f>
        <v>CB000ZQW</v>
      </c>
      <c r="B226" s="4" t="s">
        <v>644</v>
      </c>
      <c r="C226" s="4" t="s">
        <v>645</v>
      </c>
      <c r="D226" s="4" t="s">
        <v>49</v>
      </c>
      <c r="E226" s="4" t="s">
        <v>646</v>
      </c>
      <c r="F226" s="4" t="s">
        <v>40</v>
      </c>
      <c r="G226" s="4" t="s">
        <v>23</v>
      </c>
      <c r="H226" s="4" t="str">
        <f>"44654"</f>
        <v>44654</v>
      </c>
      <c r="I226" s="4" t="s">
        <v>24</v>
      </c>
      <c r="J226" s="4" t="str">
        <f>"(M) 330-674-2422"</f>
        <v>(M) 330-674-2422</v>
      </c>
      <c r="K226" s="4"/>
      <c r="L226" s="4" t="s">
        <v>537</v>
      </c>
      <c r="M226" s="4" t="s">
        <v>646</v>
      </c>
      <c r="N226" s="4" t="s">
        <v>40</v>
      </c>
      <c r="O226" s="4" t="s">
        <v>23</v>
      </c>
      <c r="P226" s="4" t="str">
        <f>"44654"</f>
        <v>44654</v>
      </c>
      <c r="Q226" s="4" t="s">
        <v>24</v>
      </c>
      <c r="R226" s="6">
        <v>44196</v>
      </c>
      <c r="S226" s="4" t="s">
        <v>46</v>
      </c>
    </row>
    <row r="227" spans="1:19" s="3" customFormat="1" ht="43.2" x14ac:dyDescent="0.3">
      <c r="A227" s="4" t="str">
        <f>"CB000P71"</f>
        <v>CB000P71</v>
      </c>
      <c r="B227" s="4" t="s">
        <v>517</v>
      </c>
      <c r="C227" s="4" t="s">
        <v>518</v>
      </c>
      <c r="D227" s="4" t="s">
        <v>519</v>
      </c>
      <c r="E227" s="4" t="s">
        <v>520</v>
      </c>
      <c r="F227" s="4" t="s">
        <v>521</v>
      </c>
      <c r="G227" s="4" t="s">
        <v>23</v>
      </c>
      <c r="H227" s="4" t="str">
        <f>"45011"</f>
        <v>45011</v>
      </c>
      <c r="I227" s="4" t="s">
        <v>522</v>
      </c>
      <c r="J227" s="4" t="str">
        <f>"(M) 513-617-5447"</f>
        <v>(M) 513-617-5447</v>
      </c>
      <c r="K227" s="4" t="s">
        <v>523</v>
      </c>
      <c r="L227" s="4" t="s">
        <v>312</v>
      </c>
      <c r="M227" s="4" t="s">
        <v>520</v>
      </c>
      <c r="N227" s="4" t="s">
        <v>521</v>
      </c>
      <c r="O227" s="4" t="s">
        <v>23</v>
      </c>
      <c r="P227" s="4" t="str">
        <f>"45011"</f>
        <v>45011</v>
      </c>
      <c r="Q227" s="4" t="s">
        <v>522</v>
      </c>
      <c r="R227" s="6">
        <v>44196</v>
      </c>
      <c r="S227" s="4" t="s">
        <v>35</v>
      </c>
    </row>
    <row r="228" spans="1:19" s="3" customFormat="1" ht="57.6" x14ac:dyDescent="0.3">
      <c r="A228" s="4" t="str">
        <f>"CB001M9Y"</f>
        <v>CB001M9Y</v>
      </c>
      <c r="B228" s="4" t="s">
        <v>1016</v>
      </c>
      <c r="C228" s="4" t="s">
        <v>1017</v>
      </c>
      <c r="D228" s="4" t="s">
        <v>1018</v>
      </c>
      <c r="E228" s="4" t="s">
        <v>1019</v>
      </c>
      <c r="F228" s="4" t="s">
        <v>1020</v>
      </c>
      <c r="G228" s="4" t="s">
        <v>23</v>
      </c>
      <c r="H228" s="4" t="str">
        <f>"45346"</f>
        <v>45346</v>
      </c>
      <c r="I228" s="4" t="s">
        <v>252</v>
      </c>
      <c r="J228" s="4" t="str">
        <f>"(P) 937-996-1001 (F) 937-996-0127 (M) 937-569-1565"</f>
        <v>(P) 937-996-1001 (F) 937-996-0127 (M) 937-569-1565</v>
      </c>
      <c r="K228" s="4" t="s">
        <v>1021</v>
      </c>
      <c r="L228" s="4" t="s">
        <v>338</v>
      </c>
      <c r="M228" s="4" t="s">
        <v>1019</v>
      </c>
      <c r="N228" s="4" t="s">
        <v>1020</v>
      </c>
      <c r="O228" s="4" t="s">
        <v>23</v>
      </c>
      <c r="P228" s="4" t="str">
        <f>"45346"</f>
        <v>45346</v>
      </c>
      <c r="Q228" s="4" t="s">
        <v>252</v>
      </c>
      <c r="R228" s="6">
        <v>44196</v>
      </c>
      <c r="S228" s="4" t="s">
        <v>46</v>
      </c>
    </row>
    <row r="229" spans="1:19" s="3" customFormat="1" ht="57.6" x14ac:dyDescent="0.3">
      <c r="A229" s="4" t="str">
        <f>"CB000PCS"</f>
        <v>CB000PCS</v>
      </c>
      <c r="B229" s="4" t="s">
        <v>531</v>
      </c>
      <c r="C229" s="4" t="s">
        <v>532</v>
      </c>
      <c r="D229" s="4" t="s">
        <v>533</v>
      </c>
      <c r="E229" s="4" t="s">
        <v>534</v>
      </c>
      <c r="F229" s="4" t="s">
        <v>535</v>
      </c>
      <c r="G229" s="4" t="s">
        <v>23</v>
      </c>
      <c r="H229" s="4" t="str">
        <f>"43140"</f>
        <v>43140</v>
      </c>
      <c r="I229" s="4" t="s">
        <v>536</v>
      </c>
      <c r="J229" s="4" t="str">
        <f>"(P) 740-852-2793 (F) 740-852-3888 (M) 740-837-6550"</f>
        <v>(P) 740-852-2793 (F) 740-852-3888 (M) 740-837-6550</v>
      </c>
      <c r="K229" s="4"/>
      <c r="L229" s="4" t="s">
        <v>750</v>
      </c>
      <c r="M229" s="4" t="s">
        <v>534</v>
      </c>
      <c r="N229" s="4" t="s">
        <v>535</v>
      </c>
      <c r="O229" s="4" t="s">
        <v>23</v>
      </c>
      <c r="P229" s="4" t="str">
        <f>"43140"</f>
        <v>43140</v>
      </c>
      <c r="Q229" s="4" t="s">
        <v>536</v>
      </c>
      <c r="R229" s="6">
        <v>44196</v>
      </c>
      <c r="S229" s="4" t="s">
        <v>35</v>
      </c>
    </row>
    <row r="230" spans="1:19" s="3" customFormat="1" ht="43.2" x14ac:dyDescent="0.3">
      <c r="A230" s="4" t="str">
        <f>"CB0014Q4"</f>
        <v>CB0014Q4</v>
      </c>
      <c r="B230" s="4" t="s">
        <v>701</v>
      </c>
      <c r="C230" s="4" t="s">
        <v>532</v>
      </c>
      <c r="D230" s="4" t="s">
        <v>702</v>
      </c>
      <c r="E230" s="4" t="s">
        <v>703</v>
      </c>
      <c r="F230" s="4" t="s">
        <v>704</v>
      </c>
      <c r="G230" s="4" t="s">
        <v>23</v>
      </c>
      <c r="H230" s="4" t="str">
        <f>"44678"</f>
        <v>44678</v>
      </c>
      <c r="I230" s="4" t="s">
        <v>66</v>
      </c>
      <c r="J230" s="4" t="str">
        <f>"(M) 330-364-4245"</f>
        <v>(M) 330-364-4245</v>
      </c>
      <c r="K230" s="4" t="s">
        <v>705</v>
      </c>
      <c r="L230" s="4" t="s">
        <v>875</v>
      </c>
      <c r="M230" s="4" t="s">
        <v>703</v>
      </c>
      <c r="N230" s="4" t="s">
        <v>704</v>
      </c>
      <c r="O230" s="4" t="s">
        <v>23</v>
      </c>
      <c r="P230" s="4" t="str">
        <f>"44678"</f>
        <v>44678</v>
      </c>
      <c r="Q230" s="4" t="s">
        <v>66</v>
      </c>
      <c r="R230" s="6">
        <v>44196</v>
      </c>
      <c r="S230" s="4" t="s">
        <v>46</v>
      </c>
    </row>
    <row r="231" spans="1:19" s="3" customFormat="1" ht="43.2" x14ac:dyDescent="0.3">
      <c r="A231" s="4" t="str">
        <f>"CB00055B"</f>
        <v>CB00055B</v>
      </c>
      <c r="B231" s="4" t="s">
        <v>301</v>
      </c>
      <c r="C231" s="4" t="s">
        <v>302</v>
      </c>
      <c r="D231" s="4" t="s">
        <v>303</v>
      </c>
      <c r="E231" s="4" t="s">
        <v>304</v>
      </c>
      <c r="F231" s="4" t="s">
        <v>305</v>
      </c>
      <c r="G231" s="4" t="s">
        <v>23</v>
      </c>
      <c r="H231" s="4" t="str">
        <f>"43521"</f>
        <v>43521</v>
      </c>
      <c r="I231" s="4" t="s">
        <v>32</v>
      </c>
      <c r="J231" s="4" t="str">
        <f>"(M) 419-583-7060"</f>
        <v>(M) 419-583-7060</v>
      </c>
      <c r="K231" s="4"/>
      <c r="L231" s="4" t="s">
        <v>1372</v>
      </c>
      <c r="M231" s="4" t="s">
        <v>304</v>
      </c>
      <c r="N231" s="4" t="s">
        <v>305</v>
      </c>
      <c r="O231" s="4" t="s">
        <v>23</v>
      </c>
      <c r="P231" s="4" t="str">
        <f>"43521"</f>
        <v>43521</v>
      </c>
      <c r="Q231" s="4" t="s">
        <v>32</v>
      </c>
      <c r="R231" s="6">
        <v>44196</v>
      </c>
      <c r="S231" s="4" t="s">
        <v>46</v>
      </c>
    </row>
    <row r="232" spans="1:19" s="3" customFormat="1" ht="43.2" x14ac:dyDescent="0.3">
      <c r="A232" s="4" t="str">
        <f>"CB001LES"</f>
        <v>CB001LES</v>
      </c>
      <c r="B232" s="4"/>
      <c r="C232" s="4" t="s">
        <v>983</v>
      </c>
      <c r="D232" s="4" t="s">
        <v>20</v>
      </c>
      <c r="E232" s="4" t="s">
        <v>984</v>
      </c>
      <c r="F232" s="4" t="s">
        <v>111</v>
      </c>
      <c r="G232" s="4" t="s">
        <v>23</v>
      </c>
      <c r="H232" s="4" t="str">
        <f>"44627"</f>
        <v>44627</v>
      </c>
      <c r="I232" s="4" t="s">
        <v>24</v>
      </c>
      <c r="J232" s="4" t="str">
        <f>"(P) 330-275-8157"</f>
        <v>(P) 330-275-8157</v>
      </c>
      <c r="K232" s="4"/>
      <c r="L232" s="4" t="s">
        <v>354</v>
      </c>
      <c r="M232" s="4" t="s">
        <v>984</v>
      </c>
      <c r="N232" s="4" t="s">
        <v>111</v>
      </c>
      <c r="O232" s="4" t="s">
        <v>23</v>
      </c>
      <c r="P232" s="4" t="str">
        <f>"44627"</f>
        <v>44627</v>
      </c>
      <c r="Q232" s="4" t="s">
        <v>24</v>
      </c>
      <c r="R232" s="6">
        <v>44196</v>
      </c>
      <c r="S232" s="4" t="s">
        <v>35</v>
      </c>
    </row>
    <row r="233" spans="1:19" s="3" customFormat="1" ht="43.2" x14ac:dyDescent="0.3">
      <c r="A233" s="4" t="str">
        <f>"CB001QZ5"</f>
        <v>CB001QZ5</v>
      </c>
      <c r="B233" s="4"/>
      <c r="C233" s="4" t="s">
        <v>983</v>
      </c>
      <c r="D233" s="4" t="s">
        <v>59</v>
      </c>
      <c r="E233" s="4" t="s">
        <v>1131</v>
      </c>
      <c r="F233" s="4" t="s">
        <v>51</v>
      </c>
      <c r="G233" s="4" t="s">
        <v>23</v>
      </c>
      <c r="H233" s="4" t="str">
        <f>"44606"</f>
        <v>44606</v>
      </c>
      <c r="I233" s="4" t="s">
        <v>52</v>
      </c>
      <c r="J233" s="4" t="str">
        <f>"(P) 330-988-3660"</f>
        <v>(P) 330-988-3660</v>
      </c>
      <c r="K233" s="4"/>
      <c r="L233" s="4" t="s">
        <v>1193</v>
      </c>
      <c r="M233" s="4" t="s">
        <v>1131</v>
      </c>
      <c r="N233" s="4" t="s">
        <v>51</v>
      </c>
      <c r="O233" s="4" t="s">
        <v>23</v>
      </c>
      <c r="P233" s="4" t="str">
        <f>"44606"</f>
        <v>44606</v>
      </c>
      <c r="Q233" s="4" t="s">
        <v>52</v>
      </c>
      <c r="R233" s="6">
        <v>44196</v>
      </c>
      <c r="S233" s="4" t="s">
        <v>35</v>
      </c>
    </row>
    <row r="234" spans="1:19" s="3" customFormat="1" ht="43.2" x14ac:dyDescent="0.3">
      <c r="A234" s="4" t="str">
        <f>"CB0016GC"</f>
        <v>CB0016GC</v>
      </c>
      <c r="B234" s="4"/>
      <c r="C234" s="4" t="s">
        <v>742</v>
      </c>
      <c r="D234" s="4" t="s">
        <v>49</v>
      </c>
      <c r="E234" s="4" t="s">
        <v>743</v>
      </c>
      <c r="F234" s="4" t="s">
        <v>744</v>
      </c>
      <c r="G234" s="4" t="s">
        <v>23</v>
      </c>
      <c r="H234" s="4" t="str">
        <f>"43338"</f>
        <v>43338</v>
      </c>
      <c r="I234" s="4" t="s">
        <v>745</v>
      </c>
      <c r="J234" s="4" t="str">
        <f>"(M) 419-560-7167"</f>
        <v>(M) 419-560-7167</v>
      </c>
      <c r="K234" s="4"/>
      <c r="L234" s="4" t="s">
        <v>827</v>
      </c>
      <c r="M234" s="4" t="s">
        <v>743</v>
      </c>
      <c r="N234" s="4" t="s">
        <v>744</v>
      </c>
      <c r="O234" s="4" t="s">
        <v>23</v>
      </c>
      <c r="P234" s="4" t="str">
        <f>"43338"</f>
        <v>43338</v>
      </c>
      <c r="Q234" s="4" t="s">
        <v>745</v>
      </c>
      <c r="R234" s="6">
        <v>44196</v>
      </c>
      <c r="S234" s="4" t="s">
        <v>76</v>
      </c>
    </row>
    <row r="235" spans="1:19" s="3" customFormat="1" ht="43.2" x14ac:dyDescent="0.3">
      <c r="A235" s="4" t="str">
        <f>"CB001K6B"</f>
        <v>CB001K6B</v>
      </c>
      <c r="B235" s="4"/>
      <c r="C235" s="4" t="s">
        <v>950</v>
      </c>
      <c r="D235" s="4" t="s">
        <v>951</v>
      </c>
      <c r="E235" s="4" t="s">
        <v>952</v>
      </c>
      <c r="F235" s="4" t="s">
        <v>51</v>
      </c>
      <c r="G235" s="4" t="s">
        <v>23</v>
      </c>
      <c r="H235" s="4" t="str">
        <f>"44606"</f>
        <v>44606</v>
      </c>
      <c r="I235" s="4" t="s">
        <v>52</v>
      </c>
      <c r="J235" s="4" t="str">
        <f>"(P) 330-695-2225"</f>
        <v>(P) 330-695-2225</v>
      </c>
      <c r="K235" s="4"/>
      <c r="L235" s="4" t="s">
        <v>827</v>
      </c>
      <c r="M235" s="4" t="s">
        <v>952</v>
      </c>
      <c r="N235" s="4" t="s">
        <v>51</v>
      </c>
      <c r="O235" s="4" t="s">
        <v>23</v>
      </c>
      <c r="P235" s="4" t="str">
        <f>"44606"</f>
        <v>44606</v>
      </c>
      <c r="Q235" s="4" t="s">
        <v>52</v>
      </c>
      <c r="R235" s="6">
        <v>44196</v>
      </c>
      <c r="S235" s="4" t="s">
        <v>35</v>
      </c>
    </row>
    <row r="236" spans="1:19" s="3" customFormat="1" ht="43.2" x14ac:dyDescent="0.3">
      <c r="A236" s="4" t="str">
        <f>"CB00006T"</f>
        <v>CB00006T</v>
      </c>
      <c r="B236" s="4" t="s">
        <v>27</v>
      </c>
      <c r="C236" s="4" t="s">
        <v>28</v>
      </c>
      <c r="D236" s="4" t="s">
        <v>29</v>
      </c>
      <c r="E236" s="4" t="s">
        <v>30</v>
      </c>
      <c r="F236" s="4" t="s">
        <v>31</v>
      </c>
      <c r="G236" s="4" t="s">
        <v>23</v>
      </c>
      <c r="H236" s="4" t="str">
        <f>"43515"</f>
        <v>43515</v>
      </c>
      <c r="I236" s="4" t="s">
        <v>32</v>
      </c>
      <c r="J236" s="4" t="str">
        <f>"(P) 419-553-9168"</f>
        <v>(P) 419-553-9168</v>
      </c>
      <c r="K236" s="4" t="s">
        <v>33</v>
      </c>
      <c r="L236" s="4" t="s">
        <v>1339</v>
      </c>
      <c r="M236" s="4" t="s">
        <v>30</v>
      </c>
      <c r="N236" s="4" t="s">
        <v>31</v>
      </c>
      <c r="O236" s="4" t="s">
        <v>23</v>
      </c>
      <c r="P236" s="4" t="str">
        <f>"43515"</f>
        <v>43515</v>
      </c>
      <c r="Q236" s="4" t="s">
        <v>32</v>
      </c>
      <c r="R236" s="6">
        <v>44196</v>
      </c>
      <c r="S236" s="4" t="s">
        <v>35</v>
      </c>
    </row>
    <row r="237" spans="1:19" s="3" customFormat="1" ht="43.2" x14ac:dyDescent="0.3">
      <c r="A237" s="4" t="str">
        <f>"CB000593"</f>
        <v>CB000593</v>
      </c>
      <c r="B237" s="4" t="s">
        <v>322</v>
      </c>
      <c r="C237" s="4" t="s">
        <v>323</v>
      </c>
      <c r="D237" s="4" t="s">
        <v>324</v>
      </c>
      <c r="E237" s="4" t="s">
        <v>325</v>
      </c>
      <c r="F237" s="4" t="s">
        <v>326</v>
      </c>
      <c r="G237" s="4" t="s">
        <v>23</v>
      </c>
      <c r="H237" s="4" t="str">
        <f>"45303"</f>
        <v>45303</v>
      </c>
      <c r="I237" s="4" t="s">
        <v>252</v>
      </c>
      <c r="J237" s="4" t="str">
        <f>"(M) 937-459-6620"</f>
        <v>(M) 937-459-6620</v>
      </c>
      <c r="K237" s="4" t="s">
        <v>327</v>
      </c>
      <c r="L237" s="4" t="s">
        <v>697</v>
      </c>
      <c r="M237" s="4" t="s">
        <v>325</v>
      </c>
      <c r="N237" s="4" t="s">
        <v>326</v>
      </c>
      <c r="O237" s="4" t="s">
        <v>23</v>
      </c>
      <c r="P237" s="4" t="str">
        <f>"45303"</f>
        <v>45303</v>
      </c>
      <c r="Q237" s="4" t="s">
        <v>252</v>
      </c>
      <c r="R237" s="6">
        <v>44196</v>
      </c>
      <c r="S237" s="4" t="s">
        <v>46</v>
      </c>
    </row>
    <row r="238" spans="1:19" s="3" customFormat="1" ht="43.2" x14ac:dyDescent="0.3">
      <c r="A238" s="4" t="str">
        <f>"CB0014MA"</f>
        <v>CB0014MA</v>
      </c>
      <c r="B238" s="4"/>
      <c r="C238" s="4" t="s">
        <v>698</v>
      </c>
      <c r="D238" s="4" t="s">
        <v>43</v>
      </c>
      <c r="E238" s="4" t="s">
        <v>699</v>
      </c>
      <c r="F238" s="4" t="s">
        <v>111</v>
      </c>
      <c r="G238" s="4" t="s">
        <v>23</v>
      </c>
      <c r="H238" s="4" t="str">
        <f>"44627"</f>
        <v>44627</v>
      </c>
      <c r="I238" s="4" t="s">
        <v>24</v>
      </c>
      <c r="J238" s="4" t="str">
        <f>"(P) 330-473-0297 (M) 330-473-0297"</f>
        <v>(P) 330-473-0297 (M) 330-473-0297</v>
      </c>
      <c r="K238" s="4"/>
      <c r="L238" s="4" t="s">
        <v>272</v>
      </c>
      <c r="M238" s="4" t="s">
        <v>699</v>
      </c>
      <c r="N238" s="4" t="s">
        <v>111</v>
      </c>
      <c r="O238" s="4" t="s">
        <v>23</v>
      </c>
      <c r="P238" s="4" t="str">
        <f>"44627"</f>
        <v>44627</v>
      </c>
      <c r="Q238" s="4" t="s">
        <v>24</v>
      </c>
      <c r="R238" s="6">
        <v>44196</v>
      </c>
      <c r="S238" s="4" t="s">
        <v>46</v>
      </c>
    </row>
    <row r="239" spans="1:19" s="3" customFormat="1" ht="43.2" x14ac:dyDescent="0.3">
      <c r="A239" s="4" t="str">
        <f>"CB001CQ5"</f>
        <v>CB001CQ5</v>
      </c>
      <c r="B239" s="4" t="s">
        <v>850</v>
      </c>
      <c r="C239" s="4" t="s">
        <v>698</v>
      </c>
      <c r="D239" s="4" t="s">
        <v>20</v>
      </c>
      <c r="E239" s="4" t="s">
        <v>851</v>
      </c>
      <c r="F239" s="4" t="s">
        <v>111</v>
      </c>
      <c r="G239" s="4" t="s">
        <v>23</v>
      </c>
      <c r="H239" s="4" t="str">
        <f>"44627"</f>
        <v>44627</v>
      </c>
      <c r="I239" s="4" t="s">
        <v>24</v>
      </c>
      <c r="J239" s="4" t="str">
        <f>"(F) 330-674-0341 (M) 330-600-0611"</f>
        <v>(F) 330-674-0341 (M) 330-600-0611</v>
      </c>
      <c r="K239" s="4"/>
      <c r="L239" s="4" t="s">
        <v>276</v>
      </c>
      <c r="M239" s="4" t="s">
        <v>851</v>
      </c>
      <c r="N239" s="4" t="s">
        <v>111</v>
      </c>
      <c r="O239" s="4" t="s">
        <v>23</v>
      </c>
      <c r="P239" s="4" t="str">
        <f>"44627"</f>
        <v>44627</v>
      </c>
      <c r="Q239" s="4" t="s">
        <v>24</v>
      </c>
      <c r="R239" s="6">
        <v>44196</v>
      </c>
      <c r="S239" s="4" t="s">
        <v>46</v>
      </c>
    </row>
    <row r="240" spans="1:19" s="3" customFormat="1" ht="43.2" x14ac:dyDescent="0.3">
      <c r="A240" s="4" t="str">
        <f>"CB001FK3"</f>
        <v>CB001FK3</v>
      </c>
      <c r="B240" s="4" t="s">
        <v>917</v>
      </c>
      <c r="C240" s="4" t="s">
        <v>698</v>
      </c>
      <c r="D240" s="4" t="s">
        <v>20</v>
      </c>
      <c r="E240" s="4" t="s">
        <v>918</v>
      </c>
      <c r="F240" s="4" t="s">
        <v>40</v>
      </c>
      <c r="G240" s="4" t="s">
        <v>23</v>
      </c>
      <c r="H240" s="4" t="str">
        <f>"44654"</f>
        <v>44654</v>
      </c>
      <c r="I240" s="4" t="s">
        <v>24</v>
      </c>
      <c r="J240" s="4" t="str">
        <f>"(P) 330-893-3054"</f>
        <v>(P) 330-893-3054</v>
      </c>
      <c r="K240" s="4" t="s">
        <v>919</v>
      </c>
      <c r="L240" s="4" t="s">
        <v>188</v>
      </c>
      <c r="M240" s="4" t="s">
        <v>918</v>
      </c>
      <c r="N240" s="4" t="s">
        <v>40</v>
      </c>
      <c r="O240" s="4" t="s">
        <v>23</v>
      </c>
      <c r="P240" s="4" t="str">
        <f>"44654"</f>
        <v>44654</v>
      </c>
      <c r="Q240" s="4" t="s">
        <v>24</v>
      </c>
      <c r="R240" s="6">
        <v>44196</v>
      </c>
      <c r="S240" s="4" t="s">
        <v>35</v>
      </c>
    </row>
    <row r="241" spans="1:19" s="3" customFormat="1" ht="43.2" x14ac:dyDescent="0.3">
      <c r="A241" s="4" t="str">
        <f>"CB001LUX"</f>
        <v>CB001LUX</v>
      </c>
      <c r="B241" s="4"/>
      <c r="C241" s="4" t="s">
        <v>698</v>
      </c>
      <c r="D241" s="4" t="s">
        <v>20</v>
      </c>
      <c r="E241" s="4" t="s">
        <v>996</v>
      </c>
      <c r="F241" s="4" t="s">
        <v>40</v>
      </c>
      <c r="G241" s="4" t="s">
        <v>23</v>
      </c>
      <c r="H241" s="4" t="str">
        <f>"44654"</f>
        <v>44654</v>
      </c>
      <c r="I241" s="4" t="s">
        <v>24</v>
      </c>
      <c r="J241" s="4" t="str">
        <f>""</f>
        <v/>
      </c>
      <c r="K241" s="4"/>
      <c r="L241" s="4" t="s">
        <v>362</v>
      </c>
      <c r="M241" s="4" t="s">
        <v>996</v>
      </c>
      <c r="N241" s="4" t="s">
        <v>40</v>
      </c>
      <c r="O241" s="4" t="s">
        <v>23</v>
      </c>
      <c r="P241" s="4" t="str">
        <f>"44654"</f>
        <v>44654</v>
      </c>
      <c r="Q241" s="4" t="s">
        <v>24</v>
      </c>
      <c r="R241" s="6">
        <v>44196</v>
      </c>
      <c r="S241" s="4" t="s">
        <v>46</v>
      </c>
    </row>
    <row r="242" spans="1:19" s="3" customFormat="1" ht="57.6" x14ac:dyDescent="0.3">
      <c r="A242" s="4" t="str">
        <f>"CB001U1L"</f>
        <v>CB001U1L</v>
      </c>
      <c r="B242" s="4"/>
      <c r="C242" s="4" t="s">
        <v>698</v>
      </c>
      <c r="D242" s="4" t="s">
        <v>49</v>
      </c>
      <c r="E242" s="4" t="s">
        <v>1174</v>
      </c>
      <c r="F242" s="4" t="s">
        <v>74</v>
      </c>
      <c r="G242" s="4" t="s">
        <v>23</v>
      </c>
      <c r="H242" s="4" t="str">
        <f>"44681"</f>
        <v>44681</v>
      </c>
      <c r="I242" s="4" t="s">
        <v>24</v>
      </c>
      <c r="J242" s="4" t="str">
        <f>"(P) 330-231-5779 (F) 330-852-1121 (M) 330-275-5214"</f>
        <v>(P) 330-231-5779 (F) 330-852-1121 (M) 330-275-5214</v>
      </c>
      <c r="K242" s="4"/>
      <c r="L242" s="4" t="s">
        <v>1185</v>
      </c>
      <c r="M242" s="4" t="s">
        <v>1174</v>
      </c>
      <c r="N242" s="4" t="s">
        <v>74</v>
      </c>
      <c r="O242" s="4" t="s">
        <v>23</v>
      </c>
      <c r="P242" s="4" t="str">
        <f>"44681"</f>
        <v>44681</v>
      </c>
      <c r="Q242" s="4" t="s">
        <v>24</v>
      </c>
      <c r="R242" s="6">
        <v>44196</v>
      </c>
      <c r="S242" s="4" t="s">
        <v>46</v>
      </c>
    </row>
    <row r="243" spans="1:19" s="3" customFormat="1" ht="43.2" x14ac:dyDescent="0.3">
      <c r="A243" s="4" t="str">
        <f>"CB0007UR"</f>
        <v>CB0007UR</v>
      </c>
      <c r="B243" s="4"/>
      <c r="C243" s="4" t="s">
        <v>418</v>
      </c>
      <c r="D243" s="4" t="s">
        <v>43</v>
      </c>
      <c r="E243" s="4" t="s">
        <v>419</v>
      </c>
      <c r="F243" s="4" t="s">
        <v>420</v>
      </c>
      <c r="G243" s="4" t="s">
        <v>23</v>
      </c>
      <c r="H243" s="4" t="str">
        <f>"43843"</f>
        <v>43843</v>
      </c>
      <c r="I243" s="4" t="s">
        <v>134</v>
      </c>
      <c r="J243" s="4" t="str">
        <f>"(M) 740-610-8288"</f>
        <v>(M) 740-610-8288</v>
      </c>
      <c r="K243" s="4"/>
      <c r="L243" s="4" t="s">
        <v>796</v>
      </c>
      <c r="M243" s="4" t="s">
        <v>419</v>
      </c>
      <c r="N243" s="4" t="s">
        <v>420</v>
      </c>
      <c r="O243" s="4" t="s">
        <v>23</v>
      </c>
      <c r="P243" s="4" t="str">
        <f>"43843"</f>
        <v>43843</v>
      </c>
      <c r="Q243" s="4" t="s">
        <v>134</v>
      </c>
      <c r="R243" s="6">
        <v>44196</v>
      </c>
      <c r="S243" s="4" t="s">
        <v>46</v>
      </c>
    </row>
    <row r="244" spans="1:19" s="3" customFormat="1" ht="43.2" x14ac:dyDescent="0.3">
      <c r="A244" s="4" t="str">
        <f>"CB001NWK"</f>
        <v>CB001NWK</v>
      </c>
      <c r="B244" s="4" t="s">
        <v>1052</v>
      </c>
      <c r="C244" s="4" t="s">
        <v>418</v>
      </c>
      <c r="D244" s="4" t="s">
        <v>20</v>
      </c>
      <c r="E244" s="4" t="s">
        <v>1053</v>
      </c>
      <c r="F244" s="4" t="s">
        <v>40</v>
      </c>
      <c r="G244" s="4" t="s">
        <v>23</v>
      </c>
      <c r="H244" s="4" t="str">
        <f>"44654"</f>
        <v>44654</v>
      </c>
      <c r="I244" s="4" t="s">
        <v>24</v>
      </c>
      <c r="J244" s="4" t="str">
        <f>"(P) 330-893-3817 (M) 330-473-8054"</f>
        <v>(P) 330-893-3817 (M) 330-473-8054</v>
      </c>
      <c r="K244" s="4" t="s">
        <v>1054</v>
      </c>
      <c r="L244" s="4" t="s">
        <v>524</v>
      </c>
      <c r="M244" s="4" t="s">
        <v>1053</v>
      </c>
      <c r="N244" s="4" t="s">
        <v>40</v>
      </c>
      <c r="O244" s="4" t="s">
        <v>23</v>
      </c>
      <c r="P244" s="4" t="str">
        <f>"44654"</f>
        <v>44654</v>
      </c>
      <c r="Q244" s="4" t="s">
        <v>24</v>
      </c>
      <c r="R244" s="6">
        <v>44196</v>
      </c>
      <c r="S244" s="4" t="s">
        <v>46</v>
      </c>
    </row>
    <row r="245" spans="1:19" s="3" customFormat="1" ht="43.2" x14ac:dyDescent="0.3">
      <c r="A245" s="4" t="str">
        <f>"CB002CAR"</f>
        <v>CB002CAR</v>
      </c>
      <c r="B245" s="4"/>
      <c r="C245" s="4" t="s">
        <v>418</v>
      </c>
      <c r="D245" s="4" t="s">
        <v>49</v>
      </c>
      <c r="E245" s="4" t="s">
        <v>1404</v>
      </c>
      <c r="F245" s="4" t="s">
        <v>99</v>
      </c>
      <c r="G245" s="4" t="s">
        <v>23</v>
      </c>
      <c r="H245" s="4" t="str">
        <f>"43824"</f>
        <v>43824</v>
      </c>
      <c r="I245" s="4" t="s">
        <v>134</v>
      </c>
      <c r="J245" s="4" t="str">
        <f>"(P) 740-624-8831"</f>
        <v>(P) 740-624-8831</v>
      </c>
      <c r="K245" s="4"/>
      <c r="L245" s="4" t="s">
        <v>366</v>
      </c>
      <c r="M245" s="4" t="s">
        <v>1404</v>
      </c>
      <c r="N245" s="4" t="s">
        <v>99</v>
      </c>
      <c r="O245" s="4" t="s">
        <v>23</v>
      </c>
      <c r="P245" s="4" t="str">
        <f>"43824"</f>
        <v>43824</v>
      </c>
      <c r="Q245" s="4" t="s">
        <v>134</v>
      </c>
      <c r="R245" s="6">
        <v>44196</v>
      </c>
      <c r="S245" s="4" t="s">
        <v>76</v>
      </c>
    </row>
    <row r="246" spans="1:19" s="3" customFormat="1" ht="43.2" x14ac:dyDescent="0.3">
      <c r="A246" s="4" t="str">
        <f>"CB002CGD"</f>
        <v>CB002CGD</v>
      </c>
      <c r="B246" s="4" t="s">
        <v>1413</v>
      </c>
      <c r="C246" s="4" t="s">
        <v>418</v>
      </c>
      <c r="D246" s="4" t="s">
        <v>93</v>
      </c>
      <c r="E246" s="4" t="s">
        <v>1414</v>
      </c>
      <c r="F246" s="4" t="s">
        <v>111</v>
      </c>
      <c r="G246" s="4" t="s">
        <v>23</v>
      </c>
      <c r="H246" s="4" t="str">
        <f>"44627"</f>
        <v>44627</v>
      </c>
      <c r="I246" s="4" t="s">
        <v>52</v>
      </c>
      <c r="J246" s="4" t="str">
        <f>"(P) 330-695-2001 (F) 330-695-2020"</f>
        <v>(P) 330-695-2001 (F) 330-695-2020</v>
      </c>
      <c r="K246" s="4"/>
      <c r="L246" s="4" t="s">
        <v>1006</v>
      </c>
      <c r="M246" s="4" t="s">
        <v>1414</v>
      </c>
      <c r="N246" s="4" t="s">
        <v>111</v>
      </c>
      <c r="O246" s="4" t="s">
        <v>23</v>
      </c>
      <c r="P246" s="4" t="str">
        <f>"44627"</f>
        <v>44627</v>
      </c>
      <c r="Q246" s="4" t="s">
        <v>52</v>
      </c>
      <c r="R246" s="6">
        <v>44196</v>
      </c>
      <c r="S246" s="4" t="s">
        <v>46</v>
      </c>
    </row>
    <row r="247" spans="1:19" s="3" customFormat="1" ht="43.2" x14ac:dyDescent="0.3">
      <c r="A247" s="4" t="str">
        <f>"CB001QG6"</f>
        <v>CB001QG6</v>
      </c>
      <c r="B247" s="4"/>
      <c r="C247" s="4" t="s">
        <v>1116</v>
      </c>
      <c r="D247" s="4" t="s">
        <v>20</v>
      </c>
      <c r="E247" s="4" t="s">
        <v>1117</v>
      </c>
      <c r="F247" s="4" t="s">
        <v>111</v>
      </c>
      <c r="G247" s="4" t="s">
        <v>23</v>
      </c>
      <c r="H247" s="4" t="str">
        <f>"44627"</f>
        <v>44627</v>
      </c>
      <c r="I247" s="4" t="s">
        <v>52</v>
      </c>
      <c r="J247" s="4" t="str">
        <f>"(P) 330-473-9758"</f>
        <v>(P) 330-473-9758</v>
      </c>
      <c r="K247" s="4"/>
      <c r="L247" s="4" t="s">
        <v>465</v>
      </c>
      <c r="M247" s="4" t="s">
        <v>1119</v>
      </c>
      <c r="N247" s="4" t="s">
        <v>111</v>
      </c>
      <c r="O247" s="4" t="s">
        <v>23</v>
      </c>
      <c r="P247" s="4" t="str">
        <f>"44627"</f>
        <v>44627</v>
      </c>
      <c r="Q247" s="4" t="s">
        <v>52</v>
      </c>
      <c r="R247" s="6">
        <v>44196</v>
      </c>
      <c r="S247" s="4" t="s">
        <v>46</v>
      </c>
    </row>
    <row r="248" spans="1:19" s="3" customFormat="1" ht="43.2" x14ac:dyDescent="0.3">
      <c r="A248" s="4" t="str">
        <f>"CB0000J3"</f>
        <v>CB0000J3</v>
      </c>
      <c r="B248" s="4" t="s">
        <v>62</v>
      </c>
      <c r="C248" s="4" t="s">
        <v>63</v>
      </c>
      <c r="D248" s="4" t="s">
        <v>49</v>
      </c>
      <c r="E248" s="4" t="s">
        <v>64</v>
      </c>
      <c r="F248" s="4" t="s">
        <v>65</v>
      </c>
      <c r="G248" s="4" t="s">
        <v>23</v>
      </c>
      <c r="H248" s="4" t="str">
        <f>"44624"</f>
        <v>44624</v>
      </c>
      <c r="I248" s="4" t="s">
        <v>66</v>
      </c>
      <c r="J248" s="4" t="str">
        <f>"(M) 330-852-9905"</f>
        <v>(M) 330-852-9905</v>
      </c>
      <c r="K248" s="4"/>
      <c r="L248" s="4" t="s">
        <v>833</v>
      </c>
      <c r="M248" s="4" t="s">
        <v>64</v>
      </c>
      <c r="N248" s="4" t="s">
        <v>65</v>
      </c>
      <c r="O248" s="4" t="s">
        <v>23</v>
      </c>
      <c r="P248" s="4" t="str">
        <f>"44624"</f>
        <v>44624</v>
      </c>
      <c r="Q248" s="4" t="s">
        <v>66</v>
      </c>
      <c r="R248" s="6">
        <v>44196</v>
      </c>
      <c r="S248" s="4" t="s">
        <v>46</v>
      </c>
    </row>
    <row r="249" spans="1:19" s="3" customFormat="1" ht="43.2" x14ac:dyDescent="0.3">
      <c r="A249" s="4" t="str">
        <f>"CB0003NL"</f>
        <v>CB0003NL</v>
      </c>
      <c r="B249" s="4" t="s">
        <v>242</v>
      </c>
      <c r="C249" s="4" t="s">
        <v>63</v>
      </c>
      <c r="D249" s="4" t="s">
        <v>49</v>
      </c>
      <c r="E249" s="4" t="s">
        <v>243</v>
      </c>
      <c r="F249" s="4" t="s">
        <v>99</v>
      </c>
      <c r="G249" s="4" t="s">
        <v>23</v>
      </c>
      <c r="H249" s="4" t="str">
        <f>"43824-9513"</f>
        <v>43824-9513</v>
      </c>
      <c r="I249" s="4" t="s">
        <v>134</v>
      </c>
      <c r="J249" s="4" t="str">
        <f>"(P) 330-897-1004 (M) 740-291-9622"</f>
        <v>(P) 330-897-1004 (M) 740-291-9622</v>
      </c>
      <c r="K249" s="4"/>
      <c r="L249" s="4" t="s">
        <v>859</v>
      </c>
      <c r="M249" s="4" t="s">
        <v>243</v>
      </c>
      <c r="N249" s="4" t="s">
        <v>99</v>
      </c>
      <c r="O249" s="4" t="s">
        <v>23</v>
      </c>
      <c r="P249" s="4" t="str">
        <f>"43824-9513"</f>
        <v>43824-9513</v>
      </c>
      <c r="Q249" s="4" t="s">
        <v>134</v>
      </c>
      <c r="R249" s="6">
        <v>44196</v>
      </c>
      <c r="S249" s="4" t="s">
        <v>72</v>
      </c>
    </row>
    <row r="250" spans="1:19" s="3" customFormat="1" ht="43.2" x14ac:dyDescent="0.3">
      <c r="A250" s="4" t="str">
        <f>"CB0003ZX"</f>
        <v>CB0003ZX</v>
      </c>
      <c r="B250" s="4"/>
      <c r="C250" s="4" t="s">
        <v>63</v>
      </c>
      <c r="D250" s="4" t="s">
        <v>128</v>
      </c>
      <c r="E250" s="4" t="s">
        <v>254</v>
      </c>
      <c r="F250" s="4" t="s">
        <v>74</v>
      </c>
      <c r="G250" s="4" t="s">
        <v>23</v>
      </c>
      <c r="H250" s="4" t="str">
        <f>"44681"</f>
        <v>44681</v>
      </c>
      <c r="I250" s="4" t="s">
        <v>24</v>
      </c>
      <c r="J250" s="4" t="str">
        <f>"(M) 330-600-1695"</f>
        <v>(M) 330-600-1695</v>
      </c>
      <c r="K250" s="4"/>
      <c r="L250" s="4" t="s">
        <v>840</v>
      </c>
      <c r="M250" s="4" t="s">
        <v>254</v>
      </c>
      <c r="N250" s="4" t="s">
        <v>74</v>
      </c>
      <c r="O250" s="4" t="s">
        <v>23</v>
      </c>
      <c r="P250" s="4" t="str">
        <f>"44681"</f>
        <v>44681</v>
      </c>
      <c r="Q250" s="4" t="s">
        <v>24</v>
      </c>
      <c r="R250" s="6">
        <v>44196</v>
      </c>
      <c r="S250" s="4" t="s">
        <v>26</v>
      </c>
    </row>
    <row r="251" spans="1:19" s="3" customFormat="1" ht="43.2" x14ac:dyDescent="0.3">
      <c r="A251" s="4" t="str">
        <f>"CB0007TT"</f>
        <v>CB0007TT</v>
      </c>
      <c r="B251" s="4" t="s">
        <v>413</v>
      </c>
      <c r="C251" s="4" t="s">
        <v>63</v>
      </c>
      <c r="D251" s="4" t="s">
        <v>414</v>
      </c>
      <c r="E251" s="4" t="s">
        <v>415</v>
      </c>
      <c r="F251" s="4" t="s">
        <v>74</v>
      </c>
      <c r="G251" s="4" t="s">
        <v>23</v>
      </c>
      <c r="H251" s="4" t="str">
        <f>"44681"</f>
        <v>44681</v>
      </c>
      <c r="I251" s="4" t="s">
        <v>24</v>
      </c>
      <c r="J251" s="4" t="str">
        <f>"(P) 330-600-4851"</f>
        <v>(P) 330-600-4851</v>
      </c>
      <c r="K251" s="4"/>
      <c r="L251" s="4" t="s">
        <v>590</v>
      </c>
      <c r="M251" s="4" t="s">
        <v>417</v>
      </c>
      <c r="N251" s="4" t="s">
        <v>74</v>
      </c>
      <c r="O251" s="4" t="s">
        <v>23</v>
      </c>
      <c r="P251" s="4" t="str">
        <f>"44681"</f>
        <v>44681</v>
      </c>
      <c r="Q251" s="4" t="s">
        <v>24</v>
      </c>
      <c r="R251" s="6">
        <v>44196</v>
      </c>
      <c r="S251" s="4" t="s">
        <v>46</v>
      </c>
    </row>
    <row r="252" spans="1:19" s="3" customFormat="1" ht="43.2" x14ac:dyDescent="0.3">
      <c r="A252" s="4" t="str">
        <f>"CB000QRV"</f>
        <v>CB000QRV</v>
      </c>
      <c r="B252" s="4"/>
      <c r="C252" s="4" t="s">
        <v>63</v>
      </c>
      <c r="D252" s="4" t="s">
        <v>539</v>
      </c>
      <c r="E252" s="4" t="s">
        <v>563</v>
      </c>
      <c r="F252" s="4" t="s">
        <v>380</v>
      </c>
      <c r="G252" s="4" t="s">
        <v>23</v>
      </c>
      <c r="H252" s="4" t="str">
        <f>"45658"</f>
        <v>45658</v>
      </c>
      <c r="I252" s="4" t="s">
        <v>381</v>
      </c>
      <c r="J252" s="4" t="str">
        <f>"(P) 740-861-4318"</f>
        <v>(P) 740-861-4318</v>
      </c>
      <c r="K252" s="4"/>
      <c r="L252" s="4" t="s">
        <v>1410</v>
      </c>
      <c r="M252" s="4" t="s">
        <v>563</v>
      </c>
      <c r="N252" s="4" t="s">
        <v>380</v>
      </c>
      <c r="O252" s="4" t="s">
        <v>23</v>
      </c>
      <c r="P252" s="4" t="str">
        <f>"45658"</f>
        <v>45658</v>
      </c>
      <c r="Q252" s="4" t="s">
        <v>381</v>
      </c>
      <c r="R252" s="6">
        <v>44196</v>
      </c>
      <c r="S252" s="4" t="s">
        <v>26</v>
      </c>
    </row>
    <row r="253" spans="1:19" s="3" customFormat="1" ht="43.2" x14ac:dyDescent="0.3">
      <c r="A253" s="4" t="str">
        <f>"CB001AC4"</f>
        <v>CB001AC4</v>
      </c>
      <c r="B253" s="4"/>
      <c r="C253" s="4" t="s">
        <v>63</v>
      </c>
      <c r="D253" s="4" t="s">
        <v>502</v>
      </c>
      <c r="E253" s="4" t="s">
        <v>828</v>
      </c>
      <c r="F253" s="4" t="s">
        <v>829</v>
      </c>
      <c r="G253" s="4" t="s">
        <v>23</v>
      </c>
      <c r="H253" s="4" t="str">
        <f>"44691"</f>
        <v>44691</v>
      </c>
      <c r="I253" s="4" t="s">
        <v>52</v>
      </c>
      <c r="J253" s="4" t="str">
        <f>"(P) 330-264-2647 (M) 330-464-3212"</f>
        <v>(P) 330-264-2647 (M) 330-464-3212</v>
      </c>
      <c r="K253" s="4"/>
      <c r="L253" s="4" t="s">
        <v>788</v>
      </c>
      <c r="M253" s="4" t="s">
        <v>828</v>
      </c>
      <c r="N253" s="4" t="s">
        <v>829</v>
      </c>
      <c r="O253" s="4" t="s">
        <v>23</v>
      </c>
      <c r="P253" s="4" t="str">
        <f>"44691"</f>
        <v>44691</v>
      </c>
      <c r="Q253" s="4" t="s">
        <v>52</v>
      </c>
      <c r="R253" s="6">
        <v>44196</v>
      </c>
      <c r="S253" s="4" t="s">
        <v>46</v>
      </c>
    </row>
    <row r="254" spans="1:19" s="3" customFormat="1" ht="43.2" x14ac:dyDescent="0.3">
      <c r="A254" s="4" t="str">
        <f>"CB001FWG"</f>
        <v>CB001FWG</v>
      </c>
      <c r="B254" s="4" t="s">
        <v>921</v>
      </c>
      <c r="C254" s="4" t="s">
        <v>63</v>
      </c>
      <c r="D254" s="4" t="s">
        <v>922</v>
      </c>
      <c r="E254" s="4" t="s">
        <v>923</v>
      </c>
      <c r="F254" s="4" t="s">
        <v>924</v>
      </c>
      <c r="G254" s="4" t="s">
        <v>23</v>
      </c>
      <c r="H254" s="4" t="str">
        <f>"43832"</f>
        <v>43832</v>
      </c>
      <c r="I254" s="4" t="s">
        <v>66</v>
      </c>
      <c r="J254" s="4" t="str">
        <f>"(P) 330-390-5820"</f>
        <v>(P) 330-390-5820</v>
      </c>
      <c r="K254" s="4"/>
      <c r="L254" s="4" t="s">
        <v>717</v>
      </c>
      <c r="M254" s="4" t="s">
        <v>923</v>
      </c>
      <c r="N254" s="4" t="s">
        <v>924</v>
      </c>
      <c r="O254" s="4" t="s">
        <v>23</v>
      </c>
      <c r="P254" s="4" t="str">
        <f>"43832"</f>
        <v>43832</v>
      </c>
      <c r="Q254" s="4" t="s">
        <v>66</v>
      </c>
      <c r="R254" s="6">
        <v>44196</v>
      </c>
      <c r="S254" s="4" t="s">
        <v>76</v>
      </c>
    </row>
    <row r="255" spans="1:19" s="3" customFormat="1" ht="43.2" x14ac:dyDescent="0.3">
      <c r="A255" s="4" t="str">
        <f>"CB001GSL"</f>
        <v>CB001GSL</v>
      </c>
      <c r="B255" s="4" t="s">
        <v>930</v>
      </c>
      <c r="C255" s="4" t="s">
        <v>63</v>
      </c>
      <c r="D255" s="4" t="s">
        <v>128</v>
      </c>
      <c r="E255" s="4" t="s">
        <v>931</v>
      </c>
      <c r="F255" s="4" t="s">
        <v>40</v>
      </c>
      <c r="G255" s="4" t="s">
        <v>23</v>
      </c>
      <c r="H255" s="4" t="str">
        <f>"44654"</f>
        <v>44654</v>
      </c>
      <c r="I255" s="4" t="s">
        <v>24</v>
      </c>
      <c r="J255" s="4" t="str">
        <f>"(P) 330-674-0831"</f>
        <v>(P) 330-674-0831</v>
      </c>
      <c r="K255" s="4"/>
      <c r="L255" s="4" t="s">
        <v>1389</v>
      </c>
      <c r="M255" s="4" t="s">
        <v>931</v>
      </c>
      <c r="N255" s="4" t="s">
        <v>40</v>
      </c>
      <c r="O255" s="4" t="s">
        <v>23</v>
      </c>
      <c r="P255" s="4" t="str">
        <f>"44654"</f>
        <v>44654</v>
      </c>
      <c r="Q255" s="4" t="s">
        <v>24</v>
      </c>
      <c r="R255" s="6">
        <v>44196</v>
      </c>
      <c r="S255" s="4" t="s">
        <v>46</v>
      </c>
    </row>
    <row r="256" spans="1:19" s="3" customFormat="1" ht="43.2" x14ac:dyDescent="0.3">
      <c r="A256" s="4" t="str">
        <f>"CB001K0P"</f>
        <v>CB001K0P</v>
      </c>
      <c r="B256" s="4" t="s">
        <v>941</v>
      </c>
      <c r="C256" s="4" t="s">
        <v>63</v>
      </c>
      <c r="D256" s="4" t="s">
        <v>798</v>
      </c>
      <c r="E256" s="4" t="s">
        <v>942</v>
      </c>
      <c r="F256" s="4" t="s">
        <v>40</v>
      </c>
      <c r="G256" s="4" t="s">
        <v>23</v>
      </c>
      <c r="H256" s="4" t="str">
        <f>"44654"</f>
        <v>44654</v>
      </c>
      <c r="I256" s="4" t="s">
        <v>24</v>
      </c>
      <c r="J256" s="4" t="str">
        <f>"(P) 330-674-2710"</f>
        <v>(P) 330-674-2710</v>
      </c>
      <c r="K256" s="4"/>
      <c r="L256" s="4" t="s">
        <v>491</v>
      </c>
      <c r="M256" s="4" t="s">
        <v>942</v>
      </c>
      <c r="N256" s="4" t="s">
        <v>40</v>
      </c>
      <c r="O256" s="4" t="s">
        <v>23</v>
      </c>
      <c r="P256" s="4" t="str">
        <f>"44654"</f>
        <v>44654</v>
      </c>
      <c r="Q256" s="4" t="s">
        <v>24</v>
      </c>
      <c r="R256" s="6">
        <v>44196</v>
      </c>
      <c r="S256" s="4" t="s">
        <v>46</v>
      </c>
    </row>
    <row r="257" spans="1:19" s="3" customFormat="1" ht="43.2" x14ac:dyDescent="0.3">
      <c r="A257" s="4" t="str">
        <f>"CB001LS2"</f>
        <v>CB001LS2</v>
      </c>
      <c r="B257" s="4" t="s">
        <v>991</v>
      </c>
      <c r="C257" s="4" t="s">
        <v>63</v>
      </c>
      <c r="D257" s="4" t="s">
        <v>20</v>
      </c>
      <c r="E257" s="4" t="s">
        <v>992</v>
      </c>
      <c r="F257" s="4" t="s">
        <v>111</v>
      </c>
      <c r="G257" s="4" t="s">
        <v>23</v>
      </c>
      <c r="H257" s="4" t="str">
        <f>"44627"</f>
        <v>44627</v>
      </c>
      <c r="I257" s="4" t="s">
        <v>24</v>
      </c>
      <c r="J257" s="4" t="str">
        <f>"(M) 330-473-0923"</f>
        <v>(M) 330-473-0923</v>
      </c>
      <c r="K257" s="4"/>
      <c r="L257" s="4" t="s">
        <v>1255</v>
      </c>
      <c r="M257" s="4" t="s">
        <v>992</v>
      </c>
      <c r="N257" s="4" t="s">
        <v>111</v>
      </c>
      <c r="O257" s="4" t="s">
        <v>23</v>
      </c>
      <c r="P257" s="4" t="str">
        <f>"44627"</f>
        <v>44627</v>
      </c>
      <c r="Q257" s="4" t="s">
        <v>24</v>
      </c>
      <c r="R257" s="6">
        <v>44196</v>
      </c>
      <c r="S257" s="4" t="s">
        <v>46</v>
      </c>
    </row>
    <row r="258" spans="1:19" s="3" customFormat="1" ht="43.2" x14ac:dyDescent="0.3">
      <c r="A258" s="4" t="str">
        <f>"CB001VR1"</f>
        <v>CB001VR1</v>
      </c>
      <c r="B258" s="4"/>
      <c r="C258" s="4" t="s">
        <v>63</v>
      </c>
      <c r="D258" s="4" t="s">
        <v>502</v>
      </c>
      <c r="E258" s="4" t="s">
        <v>1208</v>
      </c>
      <c r="F258" s="4" t="s">
        <v>894</v>
      </c>
      <c r="G258" s="4" t="s">
        <v>23</v>
      </c>
      <c r="H258" s="4" t="str">
        <f>"44842"</f>
        <v>44842</v>
      </c>
      <c r="I258" s="4" t="s">
        <v>505</v>
      </c>
      <c r="J258" s="4" t="str">
        <f>"(M) 419-651-4691"</f>
        <v>(M) 419-651-4691</v>
      </c>
      <c r="K258" s="4"/>
      <c r="L258" s="4" t="s">
        <v>262</v>
      </c>
      <c r="M258" s="4" t="s">
        <v>1208</v>
      </c>
      <c r="N258" s="4" t="s">
        <v>894</v>
      </c>
      <c r="O258" s="4" t="s">
        <v>23</v>
      </c>
      <c r="P258" s="4" t="str">
        <f>"44842"</f>
        <v>44842</v>
      </c>
      <c r="Q258" s="4" t="s">
        <v>505</v>
      </c>
      <c r="R258" s="6">
        <v>44196</v>
      </c>
      <c r="S258" s="4" t="s">
        <v>46</v>
      </c>
    </row>
    <row r="259" spans="1:19" s="3" customFormat="1" ht="43.2" x14ac:dyDescent="0.3">
      <c r="A259" s="4" t="str">
        <f>"CB001UR5"</f>
        <v>CB001UR5</v>
      </c>
      <c r="B259" s="4" t="s">
        <v>1186</v>
      </c>
      <c r="C259" s="4" t="s">
        <v>1187</v>
      </c>
      <c r="D259" s="4" t="s">
        <v>49</v>
      </c>
      <c r="E259" s="4" t="s">
        <v>1188</v>
      </c>
      <c r="F259" s="4" t="s">
        <v>74</v>
      </c>
      <c r="G259" s="4" t="s">
        <v>23</v>
      </c>
      <c r="H259" s="4" t="str">
        <f>"44681"</f>
        <v>44681</v>
      </c>
      <c r="I259" s="4" t="s">
        <v>24</v>
      </c>
      <c r="J259" s="4" t="str">
        <f>"(M) 330-852-3227"</f>
        <v>(M) 330-852-3227</v>
      </c>
      <c r="K259" s="4"/>
      <c r="L259" s="4" t="s">
        <v>1097</v>
      </c>
      <c r="M259" s="4" t="s">
        <v>1188</v>
      </c>
      <c r="N259" s="4" t="s">
        <v>74</v>
      </c>
      <c r="O259" s="4" t="s">
        <v>23</v>
      </c>
      <c r="P259" s="4" t="str">
        <f>"44681"</f>
        <v>44681</v>
      </c>
      <c r="Q259" s="4" t="s">
        <v>24</v>
      </c>
      <c r="R259" s="6">
        <v>44196</v>
      </c>
      <c r="S259" s="4" t="s">
        <v>35</v>
      </c>
    </row>
    <row r="260" spans="1:19" s="3" customFormat="1" ht="43.2" x14ac:dyDescent="0.3">
      <c r="A260" s="4" t="str">
        <f>"CB002AQ5"</f>
        <v>CB002AQ5</v>
      </c>
      <c r="B260" s="4"/>
      <c r="C260" s="4" t="s">
        <v>1340</v>
      </c>
      <c r="D260" s="4" t="s">
        <v>20</v>
      </c>
      <c r="E260" s="4" t="s">
        <v>1341</v>
      </c>
      <c r="F260" s="4" t="s">
        <v>829</v>
      </c>
      <c r="G260" s="4" t="s">
        <v>23</v>
      </c>
      <c r="H260" s="4" t="str">
        <f>"44691"</f>
        <v>44691</v>
      </c>
      <c r="I260" s="4" t="s">
        <v>52</v>
      </c>
      <c r="J260" s="4" t="str">
        <f>"(F) 330-262-2394 (M) 270-604-1484"</f>
        <v>(F) 330-262-2394 (M) 270-604-1484</v>
      </c>
      <c r="K260" s="4" t="s">
        <v>1342</v>
      </c>
      <c r="L260" s="4" t="s">
        <v>774</v>
      </c>
      <c r="M260" s="4" t="s">
        <v>1344</v>
      </c>
      <c r="N260" s="4" t="s">
        <v>829</v>
      </c>
      <c r="O260" s="4" t="s">
        <v>23</v>
      </c>
      <c r="P260" s="4" t="str">
        <f>"44691"</f>
        <v>44691</v>
      </c>
      <c r="Q260" s="4" t="s">
        <v>52</v>
      </c>
      <c r="R260" s="6">
        <v>44196</v>
      </c>
      <c r="S260" s="4" t="s">
        <v>46</v>
      </c>
    </row>
    <row r="261" spans="1:19" s="3" customFormat="1" ht="43.2" x14ac:dyDescent="0.3">
      <c r="A261" s="4" t="str">
        <f>"CB0013GQ"</f>
        <v>CB0013GQ</v>
      </c>
      <c r="B261" s="4"/>
      <c r="C261" s="4" t="s">
        <v>695</v>
      </c>
      <c r="D261" s="4" t="s">
        <v>270</v>
      </c>
      <c r="E261" s="4" t="s">
        <v>696</v>
      </c>
      <c r="F261" s="4" t="s">
        <v>65</v>
      </c>
      <c r="G261" s="4" t="s">
        <v>23</v>
      </c>
      <c r="H261" s="4" t="str">
        <f>"44624"</f>
        <v>44624</v>
      </c>
      <c r="I261" s="4" t="s">
        <v>66</v>
      </c>
      <c r="J261" s="4" t="str">
        <f>"(P) 330-600-8633 (M) 330-275-9042"</f>
        <v>(P) 330-600-8633 (M) 330-275-9042</v>
      </c>
      <c r="K261" s="4"/>
      <c r="L261" s="4" t="s">
        <v>369</v>
      </c>
      <c r="M261" s="4" t="s">
        <v>696</v>
      </c>
      <c r="N261" s="4" t="s">
        <v>65</v>
      </c>
      <c r="O261" s="4" t="s">
        <v>23</v>
      </c>
      <c r="P261" s="4" t="str">
        <f>"44624"</f>
        <v>44624</v>
      </c>
      <c r="Q261" s="4" t="s">
        <v>66</v>
      </c>
      <c r="R261" s="6">
        <v>44196</v>
      </c>
      <c r="S261" s="4" t="s">
        <v>76</v>
      </c>
    </row>
    <row r="262" spans="1:19" s="3" customFormat="1" ht="43.2" x14ac:dyDescent="0.3">
      <c r="A262" s="4" t="str">
        <f>"CB002BJD"</f>
        <v>CB002BJD</v>
      </c>
      <c r="B262" s="4" t="s">
        <v>1379</v>
      </c>
      <c r="C262" s="4" t="s">
        <v>1380</v>
      </c>
      <c r="D262" s="4" t="s">
        <v>847</v>
      </c>
      <c r="E262" s="4" t="s">
        <v>1381</v>
      </c>
      <c r="F262" s="4" t="s">
        <v>65</v>
      </c>
      <c r="G262" s="4" t="s">
        <v>23</v>
      </c>
      <c r="H262" s="4" t="str">
        <f>"44624"</f>
        <v>44624</v>
      </c>
      <c r="I262" s="4" t="s">
        <v>66</v>
      </c>
      <c r="J262" s="4" t="str">
        <f>"(P) 330-275-6407"</f>
        <v>(P) 330-275-6407</v>
      </c>
      <c r="K262" s="4" t="s">
        <v>1382</v>
      </c>
      <c r="L262" s="4" t="s">
        <v>968</v>
      </c>
      <c r="M262" s="4" t="s">
        <v>1381</v>
      </c>
      <c r="N262" s="4" t="s">
        <v>65</v>
      </c>
      <c r="O262" s="4" t="s">
        <v>23</v>
      </c>
      <c r="P262" s="4" t="str">
        <f>"44624"</f>
        <v>44624</v>
      </c>
      <c r="Q262" s="4" t="s">
        <v>66</v>
      </c>
      <c r="R262" s="6">
        <v>44196</v>
      </c>
      <c r="S262" s="4" t="s">
        <v>46</v>
      </c>
    </row>
    <row r="263" spans="1:19" s="3" customFormat="1" ht="43.2" x14ac:dyDescent="0.3">
      <c r="A263" s="4" t="str">
        <f>"CB0001PQ"</f>
        <v>CB0001PQ</v>
      </c>
      <c r="B263" s="4"/>
      <c r="C263" s="4" t="s">
        <v>120</v>
      </c>
      <c r="D263" s="4" t="s">
        <v>43</v>
      </c>
      <c r="E263" s="4" t="s">
        <v>121</v>
      </c>
      <c r="F263" s="4" t="s">
        <v>122</v>
      </c>
      <c r="G263" s="4" t="s">
        <v>23</v>
      </c>
      <c r="H263" s="4" t="str">
        <f>"44667"</f>
        <v>44667</v>
      </c>
      <c r="I263" s="4" t="s">
        <v>52</v>
      </c>
      <c r="J263" s="4" t="str">
        <f>"(P) 330-641-2433"</f>
        <v>(P) 330-641-2433</v>
      </c>
      <c r="K263" s="4"/>
      <c r="L263" s="4" t="s">
        <v>331</v>
      </c>
      <c r="M263" s="4" t="s">
        <v>121</v>
      </c>
      <c r="N263" s="4" t="s">
        <v>122</v>
      </c>
      <c r="O263" s="4" t="s">
        <v>23</v>
      </c>
      <c r="P263" s="4" t="str">
        <f>"44667"</f>
        <v>44667</v>
      </c>
      <c r="Q263" s="4" t="s">
        <v>52</v>
      </c>
      <c r="R263" s="6">
        <v>44196</v>
      </c>
      <c r="S263" s="4" t="s">
        <v>46</v>
      </c>
    </row>
    <row r="264" spans="1:19" s="3" customFormat="1" ht="43.2" x14ac:dyDescent="0.3">
      <c r="A264" s="4" t="str">
        <f>"CB000RFC"</f>
        <v>CB000RFC</v>
      </c>
      <c r="B264" s="4" t="s">
        <v>568</v>
      </c>
      <c r="C264" s="4" t="s">
        <v>120</v>
      </c>
      <c r="D264" s="4" t="s">
        <v>55</v>
      </c>
      <c r="E264" s="4" t="s">
        <v>569</v>
      </c>
      <c r="F264" s="4" t="s">
        <v>74</v>
      </c>
      <c r="G264" s="4" t="s">
        <v>23</v>
      </c>
      <c r="H264" s="4" t="str">
        <f>"44681"</f>
        <v>44681</v>
      </c>
      <c r="I264" s="4" t="s">
        <v>66</v>
      </c>
      <c r="J264" s="4" t="str">
        <f>"(P) 330-852-0074 (F) 330-852-3060"</f>
        <v>(P) 330-852-0074 (F) 330-852-3060</v>
      </c>
      <c r="K264" s="4"/>
      <c r="L264" s="4" t="s">
        <v>53</v>
      </c>
      <c r="M264" s="4" t="s">
        <v>569</v>
      </c>
      <c r="N264" s="4" t="s">
        <v>74</v>
      </c>
      <c r="O264" s="4" t="s">
        <v>23</v>
      </c>
      <c r="P264" s="4" t="str">
        <f>"44681"</f>
        <v>44681</v>
      </c>
      <c r="Q264" s="4" t="s">
        <v>66</v>
      </c>
      <c r="R264" s="6">
        <v>44196</v>
      </c>
      <c r="S264" s="4" t="s">
        <v>76</v>
      </c>
    </row>
    <row r="265" spans="1:19" s="3" customFormat="1" ht="43.2" x14ac:dyDescent="0.3">
      <c r="A265" s="4" t="str">
        <f>"CB001PGA"</f>
        <v>CB001PGA</v>
      </c>
      <c r="B265" s="4"/>
      <c r="C265" s="4" t="s">
        <v>120</v>
      </c>
      <c r="D265" s="4" t="s">
        <v>1081</v>
      </c>
      <c r="E265" s="4" t="s">
        <v>1082</v>
      </c>
      <c r="F265" s="4" t="s">
        <v>74</v>
      </c>
      <c r="G265" s="4" t="s">
        <v>23</v>
      </c>
      <c r="H265" s="4" t="str">
        <f>"44681"</f>
        <v>44681</v>
      </c>
      <c r="I265" s="4" t="s">
        <v>24</v>
      </c>
      <c r="J265" s="4" t="str">
        <f>"(P) 330-852-2826"</f>
        <v>(P) 330-852-2826</v>
      </c>
      <c r="K265" s="4"/>
      <c r="L265" s="4" t="s">
        <v>694</v>
      </c>
      <c r="M265" s="4" t="s">
        <v>1082</v>
      </c>
      <c r="N265" s="4" t="s">
        <v>74</v>
      </c>
      <c r="O265" s="4" t="s">
        <v>23</v>
      </c>
      <c r="P265" s="4" t="str">
        <f>"44681"</f>
        <v>44681</v>
      </c>
      <c r="Q265" s="4" t="s">
        <v>24</v>
      </c>
      <c r="R265" s="6">
        <v>44196</v>
      </c>
      <c r="S265" s="4" t="s">
        <v>35</v>
      </c>
    </row>
    <row r="266" spans="1:19" s="3" customFormat="1" ht="43.2" x14ac:dyDescent="0.3">
      <c r="A266" s="4" t="str">
        <f>"CB0003MN"</f>
        <v>CB0003MN</v>
      </c>
      <c r="B266" s="4" t="s">
        <v>235</v>
      </c>
      <c r="C266" s="4" t="s">
        <v>236</v>
      </c>
      <c r="D266" s="4" t="s">
        <v>237</v>
      </c>
      <c r="E266" s="4" t="s">
        <v>238</v>
      </c>
      <c r="F266" s="4" t="s">
        <v>239</v>
      </c>
      <c r="G266" s="4" t="s">
        <v>23</v>
      </c>
      <c r="H266" s="4" t="str">
        <f>"43567"</f>
        <v>43567</v>
      </c>
      <c r="I266" s="4" t="s">
        <v>32</v>
      </c>
      <c r="J266" s="4" t="str">
        <f>"(M) 248-622-0355"</f>
        <v>(M) 248-622-0355</v>
      </c>
      <c r="K266" s="4" t="s">
        <v>240</v>
      </c>
      <c r="L266" s="4" t="s">
        <v>817</v>
      </c>
      <c r="M266" s="4" t="s">
        <v>238</v>
      </c>
      <c r="N266" s="4" t="s">
        <v>239</v>
      </c>
      <c r="O266" s="4" t="s">
        <v>23</v>
      </c>
      <c r="P266" s="4" t="str">
        <f>"43567"</f>
        <v>43567</v>
      </c>
      <c r="Q266" s="4" t="s">
        <v>32</v>
      </c>
      <c r="R266" s="6">
        <v>44196</v>
      </c>
      <c r="S266" s="4" t="s">
        <v>46</v>
      </c>
    </row>
    <row r="267" spans="1:19" s="3" customFormat="1" ht="43.2" x14ac:dyDescent="0.3">
      <c r="A267" s="4" t="str">
        <f>"CB0009CG"</f>
        <v>CB0009CG</v>
      </c>
      <c r="B267" s="4" t="s">
        <v>451</v>
      </c>
      <c r="C267" s="4" t="s">
        <v>452</v>
      </c>
      <c r="D267" s="4" t="s">
        <v>453</v>
      </c>
      <c r="E267" s="4" t="s">
        <v>454</v>
      </c>
      <c r="F267" s="4" t="s">
        <v>455</v>
      </c>
      <c r="G267" s="4" t="s">
        <v>23</v>
      </c>
      <c r="H267" s="4" t="str">
        <f>"43945"</f>
        <v>43945</v>
      </c>
      <c r="I267" s="4" t="s">
        <v>444</v>
      </c>
      <c r="J267" s="4" t="str">
        <f>"(P) 330-679-2180 (M) 330-831-5677"</f>
        <v>(P) 330-679-2180 (M) 330-831-5677</v>
      </c>
      <c r="K267" s="4" t="s">
        <v>456</v>
      </c>
      <c r="L267" s="4" t="s">
        <v>567</v>
      </c>
      <c r="M267" s="4" t="s">
        <v>454</v>
      </c>
      <c r="N267" s="4" t="s">
        <v>455</v>
      </c>
      <c r="O267" s="4" t="s">
        <v>23</v>
      </c>
      <c r="P267" s="4" t="str">
        <f>"43945"</f>
        <v>43945</v>
      </c>
      <c r="Q267" s="4" t="s">
        <v>444</v>
      </c>
      <c r="R267" s="6">
        <v>44196</v>
      </c>
      <c r="S267" s="4" t="s">
        <v>35</v>
      </c>
    </row>
    <row r="268" spans="1:19" s="3" customFormat="1" ht="43.2" x14ac:dyDescent="0.3">
      <c r="A268" s="4" t="str">
        <f>"CB001KLJ"</f>
        <v>CB001KLJ</v>
      </c>
      <c r="B268" s="4" t="s">
        <v>961</v>
      </c>
      <c r="C268" s="4" t="s">
        <v>962</v>
      </c>
      <c r="D268" s="4" t="s">
        <v>963</v>
      </c>
      <c r="E268" s="4" t="s">
        <v>964</v>
      </c>
      <c r="F268" s="4" t="s">
        <v>894</v>
      </c>
      <c r="G268" s="4" t="s">
        <v>23</v>
      </c>
      <c r="H268" s="4" t="str">
        <f>"44842"</f>
        <v>44842</v>
      </c>
      <c r="I268" s="4" t="s">
        <v>895</v>
      </c>
      <c r="J268" s="4" t="str">
        <f>"(M) 419-938-7211"</f>
        <v>(M) 419-938-7211</v>
      </c>
      <c r="K268" s="4" t="s">
        <v>965</v>
      </c>
      <c r="L268" s="4" t="s">
        <v>647</v>
      </c>
      <c r="M268" s="4" t="s">
        <v>964</v>
      </c>
      <c r="N268" s="4" t="s">
        <v>894</v>
      </c>
      <c r="O268" s="4" t="s">
        <v>23</v>
      </c>
      <c r="P268" s="4" t="str">
        <f>"44842"</f>
        <v>44842</v>
      </c>
      <c r="Q268" s="4" t="s">
        <v>895</v>
      </c>
      <c r="R268" s="6">
        <v>44196</v>
      </c>
      <c r="S268" s="4" t="s">
        <v>35</v>
      </c>
    </row>
    <row r="269" spans="1:19" s="3" customFormat="1" ht="43.2" x14ac:dyDescent="0.3">
      <c r="A269" s="4" t="str">
        <f>"CB0001Y6"</f>
        <v>CB0001Y6</v>
      </c>
      <c r="B269" s="4"/>
      <c r="C269" s="4" t="s">
        <v>141</v>
      </c>
      <c r="D269" s="4" t="s">
        <v>20</v>
      </c>
      <c r="E269" s="4" t="s">
        <v>142</v>
      </c>
      <c r="F269" s="4" t="s">
        <v>143</v>
      </c>
      <c r="G269" s="4" t="s">
        <v>23</v>
      </c>
      <c r="H269" s="4" t="str">
        <f>"44654"</f>
        <v>44654</v>
      </c>
      <c r="I269" s="4" t="s">
        <v>24</v>
      </c>
      <c r="J269" s="4" t="str">
        <f>"(P) 330-275-7045"</f>
        <v>(P) 330-275-7045</v>
      </c>
      <c r="K269" s="4"/>
      <c r="L269" s="4" t="s">
        <v>746</v>
      </c>
      <c r="M269" s="4" t="s">
        <v>142</v>
      </c>
      <c r="N269" s="4" t="s">
        <v>143</v>
      </c>
      <c r="O269" s="4" t="s">
        <v>23</v>
      </c>
      <c r="P269" s="4" t="str">
        <f>"44654"</f>
        <v>44654</v>
      </c>
      <c r="Q269" s="4" t="s">
        <v>24</v>
      </c>
      <c r="R269" s="6">
        <v>44196</v>
      </c>
      <c r="S269" s="4" t="s">
        <v>72</v>
      </c>
    </row>
    <row r="270" spans="1:19" s="3" customFormat="1" ht="43.2" x14ac:dyDescent="0.3">
      <c r="A270" s="4" t="str">
        <f>"CB001K4F"</f>
        <v>CB001K4F</v>
      </c>
      <c r="B270" s="4"/>
      <c r="C270" s="4" t="s">
        <v>141</v>
      </c>
      <c r="D270" s="4" t="s">
        <v>20</v>
      </c>
      <c r="E270" s="4" t="s">
        <v>944</v>
      </c>
      <c r="F270" s="4" t="s">
        <v>111</v>
      </c>
      <c r="G270" s="4" t="s">
        <v>23</v>
      </c>
      <c r="H270" s="4" t="str">
        <f>"44627"</f>
        <v>44627</v>
      </c>
      <c r="I270" s="4" t="s">
        <v>52</v>
      </c>
      <c r="J270" s="4" t="str">
        <f>"(P) 330-674-1871 (F) 330-674-1512"</f>
        <v>(P) 330-674-1871 (F) 330-674-1512</v>
      </c>
      <c r="K270" s="4"/>
      <c r="L270" s="4" t="s">
        <v>1175</v>
      </c>
      <c r="M270" s="4" t="s">
        <v>944</v>
      </c>
      <c r="N270" s="4" t="s">
        <v>111</v>
      </c>
      <c r="O270" s="4" t="s">
        <v>23</v>
      </c>
      <c r="P270" s="4" t="str">
        <f>"44627"</f>
        <v>44627</v>
      </c>
      <c r="Q270" s="4" t="s">
        <v>52</v>
      </c>
      <c r="R270" s="6">
        <v>44196</v>
      </c>
      <c r="S270" s="4" t="s">
        <v>35</v>
      </c>
    </row>
    <row r="271" spans="1:19" s="3" customFormat="1" ht="43.2" x14ac:dyDescent="0.3">
      <c r="A271" s="4" t="str">
        <f>"CB001LWT"</f>
        <v>CB001LWT</v>
      </c>
      <c r="B271" s="4"/>
      <c r="C271" s="4" t="s">
        <v>141</v>
      </c>
      <c r="D271" s="4" t="s">
        <v>922</v>
      </c>
      <c r="E271" s="4" t="s">
        <v>998</v>
      </c>
      <c r="F271" s="4" t="s">
        <v>40</v>
      </c>
      <c r="G271" s="4" t="s">
        <v>23</v>
      </c>
      <c r="H271" s="4" t="str">
        <f>"44654"</f>
        <v>44654</v>
      </c>
      <c r="I271" s="4" t="s">
        <v>24</v>
      </c>
      <c r="J271" s="4" t="str">
        <f>"(P) 330-359-5685"</f>
        <v>(P) 330-359-5685</v>
      </c>
      <c r="K271" s="4"/>
      <c r="L271" s="4" t="s">
        <v>1405</v>
      </c>
      <c r="M271" s="4" t="s">
        <v>998</v>
      </c>
      <c r="N271" s="4" t="s">
        <v>40</v>
      </c>
      <c r="O271" s="4" t="s">
        <v>23</v>
      </c>
      <c r="P271" s="4" t="str">
        <f>"44654"</f>
        <v>44654</v>
      </c>
      <c r="Q271" s="4" t="s">
        <v>24</v>
      </c>
      <c r="R271" s="6">
        <v>44196</v>
      </c>
      <c r="S271" s="4" t="s">
        <v>35</v>
      </c>
    </row>
    <row r="272" spans="1:19" s="3" customFormat="1" ht="43.2" x14ac:dyDescent="0.3">
      <c r="A272" s="4" t="str">
        <f>"CB001NPZ"</f>
        <v>CB001NPZ</v>
      </c>
      <c r="B272" s="4"/>
      <c r="C272" s="4" t="s">
        <v>141</v>
      </c>
      <c r="D272" s="4" t="s">
        <v>20</v>
      </c>
      <c r="E272" s="4" t="s">
        <v>1040</v>
      </c>
      <c r="F272" s="4" t="s">
        <v>74</v>
      </c>
      <c r="G272" s="4" t="s">
        <v>23</v>
      </c>
      <c r="H272" s="4" t="str">
        <f>"44681"</f>
        <v>44681</v>
      </c>
      <c r="I272" s="4" t="s">
        <v>24</v>
      </c>
      <c r="J272" s="4" t="str">
        <f>"(M) 330-852-7094"</f>
        <v>(M) 330-852-7094</v>
      </c>
      <c r="K272" s="4"/>
      <c r="L272" s="4" t="s">
        <v>244</v>
      </c>
      <c r="M272" s="4" t="s">
        <v>1040</v>
      </c>
      <c r="N272" s="4" t="s">
        <v>74</v>
      </c>
      <c r="O272" s="4" t="s">
        <v>23</v>
      </c>
      <c r="P272" s="4" t="str">
        <f>"44681"</f>
        <v>44681</v>
      </c>
      <c r="Q272" s="4" t="s">
        <v>24</v>
      </c>
      <c r="R272" s="6">
        <v>44196</v>
      </c>
      <c r="S272" s="4" t="s">
        <v>46</v>
      </c>
    </row>
    <row r="273" spans="1:19" s="3" customFormat="1" ht="43.2" x14ac:dyDescent="0.3">
      <c r="A273" s="4" t="str">
        <f>"CB001DTW"</f>
        <v>CB001DTW</v>
      </c>
      <c r="B273" s="4" t="s">
        <v>878</v>
      </c>
      <c r="C273" s="4" t="s">
        <v>879</v>
      </c>
      <c r="D273" s="4" t="s">
        <v>880</v>
      </c>
      <c r="E273" s="4" t="s">
        <v>881</v>
      </c>
      <c r="F273" s="4" t="s">
        <v>882</v>
      </c>
      <c r="G273" s="4" t="s">
        <v>23</v>
      </c>
      <c r="H273" s="4" t="str">
        <f>"43326"</f>
        <v>43326</v>
      </c>
      <c r="I273" s="4" t="s">
        <v>883</v>
      </c>
      <c r="J273" s="4" t="str">
        <f>"(P) 419-675-3444 (M) 330-715-2957"</f>
        <v>(P) 419-675-3444 (M) 330-715-2957</v>
      </c>
      <c r="K273" s="4" t="s">
        <v>884</v>
      </c>
      <c r="L273" s="4" t="s">
        <v>67</v>
      </c>
      <c r="M273" s="4" t="s">
        <v>881</v>
      </c>
      <c r="N273" s="4" t="s">
        <v>882</v>
      </c>
      <c r="O273" s="4" t="s">
        <v>23</v>
      </c>
      <c r="P273" s="4" t="str">
        <f>"43326"</f>
        <v>43326</v>
      </c>
      <c r="Q273" s="4" t="s">
        <v>883</v>
      </c>
      <c r="R273" s="6">
        <v>44196</v>
      </c>
      <c r="S273" s="4" t="s">
        <v>72</v>
      </c>
    </row>
    <row r="274" spans="1:19" s="3" customFormat="1" ht="43.2" x14ac:dyDescent="0.3">
      <c r="A274" s="4" t="str">
        <f>"CB002AS1"</f>
        <v>CB002AS1</v>
      </c>
      <c r="B274" s="4" t="s">
        <v>1345</v>
      </c>
      <c r="C274" s="4" t="s">
        <v>879</v>
      </c>
      <c r="D274" s="4" t="s">
        <v>128</v>
      </c>
      <c r="E274" s="4" t="s">
        <v>1346</v>
      </c>
      <c r="F274" s="4" t="s">
        <v>74</v>
      </c>
      <c r="G274" s="4" t="s">
        <v>23</v>
      </c>
      <c r="H274" s="4" t="str">
        <f>"44681"</f>
        <v>44681</v>
      </c>
      <c r="I274" s="4" t="s">
        <v>24</v>
      </c>
      <c r="J274" s="4" t="str">
        <f>"(P) 330-260-8136"</f>
        <v>(P) 330-260-8136</v>
      </c>
      <c r="K274" s="4"/>
      <c r="L274" s="4" t="s">
        <v>1189</v>
      </c>
      <c r="M274" s="4" t="s">
        <v>1348</v>
      </c>
      <c r="N274" s="4" t="s">
        <v>74</v>
      </c>
      <c r="O274" s="4" t="s">
        <v>23</v>
      </c>
      <c r="P274" s="4" t="str">
        <f>"44681"</f>
        <v>44681</v>
      </c>
      <c r="Q274" s="4" t="s">
        <v>24</v>
      </c>
      <c r="R274" s="6">
        <v>44196</v>
      </c>
      <c r="S274" s="4" t="s">
        <v>46</v>
      </c>
    </row>
    <row r="275" spans="1:19" s="3" customFormat="1" ht="43.2" x14ac:dyDescent="0.3">
      <c r="A275" s="4" t="str">
        <f>"CB000P2B"</f>
        <v>CB000P2B</v>
      </c>
      <c r="B275" s="4" t="s">
        <v>508</v>
      </c>
      <c r="C275" s="4" t="s">
        <v>509</v>
      </c>
      <c r="D275" s="4" t="s">
        <v>510</v>
      </c>
      <c r="E275" s="4" t="s">
        <v>511</v>
      </c>
      <c r="F275" s="4" t="s">
        <v>512</v>
      </c>
      <c r="G275" s="4" t="s">
        <v>23</v>
      </c>
      <c r="H275" s="4" t="str">
        <f>"43342"</f>
        <v>43342</v>
      </c>
      <c r="I275" s="4" t="s">
        <v>513</v>
      </c>
      <c r="J275" s="4" t="str">
        <f>"(P) 740-262-5154 (P) 419-341-2500"</f>
        <v>(P) 740-262-5154 (P) 419-341-2500</v>
      </c>
      <c r="K275" s="4" t="s">
        <v>514</v>
      </c>
      <c r="L275" s="4" t="s">
        <v>83</v>
      </c>
      <c r="M275" s="4" t="s">
        <v>516</v>
      </c>
      <c r="N275" s="4" t="s">
        <v>512</v>
      </c>
      <c r="O275" s="4" t="s">
        <v>23</v>
      </c>
      <c r="P275" s="4" t="str">
        <f>"43342"</f>
        <v>43342</v>
      </c>
      <c r="Q275" s="4" t="s">
        <v>513</v>
      </c>
      <c r="R275" s="6">
        <v>44196</v>
      </c>
      <c r="S275" s="4" t="s">
        <v>35</v>
      </c>
    </row>
    <row r="276" spans="1:19" s="3" customFormat="1" ht="43.2" x14ac:dyDescent="0.3">
      <c r="A276" s="4" t="str">
        <f>"CB0000QS"</f>
        <v>CB0000QS</v>
      </c>
      <c r="B276" s="4" t="s">
        <v>80</v>
      </c>
      <c r="C276" s="4" t="s">
        <v>81</v>
      </c>
      <c r="D276" s="4" t="s">
        <v>49</v>
      </c>
      <c r="E276" s="4" t="s">
        <v>82</v>
      </c>
      <c r="F276" s="4" t="s">
        <v>40</v>
      </c>
      <c r="G276" s="4" t="s">
        <v>23</v>
      </c>
      <c r="H276" s="4" t="str">
        <f>"44654"</f>
        <v>44654</v>
      </c>
      <c r="I276" s="4" t="s">
        <v>24</v>
      </c>
      <c r="J276" s="4" t="str">
        <f>"(M) 330-473-5455"</f>
        <v>(M) 330-473-5455</v>
      </c>
      <c r="K276" s="4"/>
      <c r="L276" s="4" t="s">
        <v>1103</v>
      </c>
      <c r="M276" s="4" t="s">
        <v>82</v>
      </c>
      <c r="N276" s="4" t="s">
        <v>40</v>
      </c>
      <c r="O276" s="4" t="s">
        <v>23</v>
      </c>
      <c r="P276" s="4" t="str">
        <f>"44654"</f>
        <v>44654</v>
      </c>
      <c r="Q276" s="4" t="s">
        <v>24</v>
      </c>
      <c r="R276" s="6">
        <v>44196</v>
      </c>
      <c r="S276" s="4" t="s">
        <v>26</v>
      </c>
    </row>
    <row r="277" spans="1:19" s="3" customFormat="1" ht="43.2" x14ac:dyDescent="0.3">
      <c r="A277" s="4" t="str">
        <f>"CB001E6Z"</f>
        <v>CB001E6Z</v>
      </c>
      <c r="B277" s="4" t="s">
        <v>892</v>
      </c>
      <c r="C277" s="4" t="s">
        <v>81</v>
      </c>
      <c r="D277" s="4" t="s">
        <v>847</v>
      </c>
      <c r="E277" s="4" t="s">
        <v>893</v>
      </c>
      <c r="F277" s="4" t="s">
        <v>894</v>
      </c>
      <c r="G277" s="4" t="s">
        <v>23</v>
      </c>
      <c r="H277" s="4" t="str">
        <f>"44842"</f>
        <v>44842</v>
      </c>
      <c r="I277" s="4" t="s">
        <v>895</v>
      </c>
      <c r="J277" s="4" t="str">
        <f>"(P) 419-368-0674"</f>
        <v>(P) 419-368-0674</v>
      </c>
      <c r="K277" s="4"/>
      <c r="L277" s="4" t="s">
        <v>1336</v>
      </c>
      <c r="M277" s="4" t="s">
        <v>893</v>
      </c>
      <c r="N277" s="4" t="s">
        <v>894</v>
      </c>
      <c r="O277" s="4" t="s">
        <v>23</v>
      </c>
      <c r="P277" s="4" t="str">
        <f>"44842"</f>
        <v>44842</v>
      </c>
      <c r="Q277" s="4" t="s">
        <v>895</v>
      </c>
      <c r="R277" s="6">
        <v>44196</v>
      </c>
      <c r="S277" s="4" t="s">
        <v>46</v>
      </c>
    </row>
    <row r="278" spans="1:19" s="3" customFormat="1" ht="43.2" x14ac:dyDescent="0.3">
      <c r="A278" s="4" t="str">
        <f>"CB002AAZ"</f>
        <v>CB002AAZ</v>
      </c>
      <c r="B278" s="4"/>
      <c r="C278" s="4" t="s">
        <v>81</v>
      </c>
      <c r="D278" s="4" t="s">
        <v>20</v>
      </c>
      <c r="E278" s="4" t="s">
        <v>1328</v>
      </c>
      <c r="F278" s="4" t="s">
        <v>99</v>
      </c>
      <c r="G278" s="4" t="s">
        <v>23</v>
      </c>
      <c r="H278" s="4" t="str">
        <f>"43824"</f>
        <v>43824</v>
      </c>
      <c r="I278" s="4" t="s">
        <v>134</v>
      </c>
      <c r="J278" s="4" t="str">
        <f>"(P) 330-556-9898"</f>
        <v>(P) 330-556-9898</v>
      </c>
      <c r="K278" s="4"/>
      <c r="L278" s="4" t="s">
        <v>140</v>
      </c>
      <c r="M278" s="4" t="s">
        <v>1328</v>
      </c>
      <c r="N278" s="4" t="s">
        <v>99</v>
      </c>
      <c r="O278" s="4" t="s">
        <v>23</v>
      </c>
      <c r="P278" s="4" t="str">
        <f>"43824"</f>
        <v>43824</v>
      </c>
      <c r="Q278" s="4" t="s">
        <v>134</v>
      </c>
      <c r="R278" s="6">
        <v>44196</v>
      </c>
      <c r="S278" s="4" t="s">
        <v>35</v>
      </c>
    </row>
    <row r="279" spans="1:19" s="3" customFormat="1" ht="43.2" x14ac:dyDescent="0.3">
      <c r="A279" s="4" t="str">
        <f>"CB0000UJ"</f>
        <v>CB0000UJ</v>
      </c>
      <c r="B279" s="4"/>
      <c r="C279" s="4" t="s">
        <v>97</v>
      </c>
      <c r="D279" s="4" t="s">
        <v>43</v>
      </c>
      <c r="E279" s="4" t="s">
        <v>98</v>
      </c>
      <c r="F279" s="4" t="s">
        <v>99</v>
      </c>
      <c r="G279" s="4" t="s">
        <v>23</v>
      </c>
      <c r="H279" s="4" t="str">
        <f>"43824"</f>
        <v>43824</v>
      </c>
      <c r="I279" s="4" t="s">
        <v>66</v>
      </c>
      <c r="J279" s="4" t="str">
        <f>"(P) 330-365-0911"</f>
        <v>(P) 330-365-0911</v>
      </c>
      <c r="K279" s="4" t="s">
        <v>100</v>
      </c>
      <c r="L279" s="4" t="s">
        <v>1142</v>
      </c>
      <c r="M279" s="4" t="s">
        <v>102</v>
      </c>
      <c r="N279" s="4" t="s">
        <v>99</v>
      </c>
      <c r="O279" s="4" t="s">
        <v>23</v>
      </c>
      <c r="P279" s="4" t="str">
        <f>"43824"</f>
        <v>43824</v>
      </c>
      <c r="Q279" s="4" t="s">
        <v>66</v>
      </c>
      <c r="R279" s="6">
        <v>44196</v>
      </c>
      <c r="S279" s="4" t="s">
        <v>46</v>
      </c>
    </row>
    <row r="280" spans="1:19" s="3" customFormat="1" ht="43.2" x14ac:dyDescent="0.3">
      <c r="A280" s="4" t="str">
        <f>"CB0002RJ"</f>
        <v>CB0002RJ</v>
      </c>
      <c r="B280" s="4"/>
      <c r="C280" s="4" t="s">
        <v>169</v>
      </c>
      <c r="D280" s="4" t="s">
        <v>43</v>
      </c>
      <c r="E280" s="4" t="s">
        <v>170</v>
      </c>
      <c r="F280" s="4" t="s">
        <v>40</v>
      </c>
      <c r="G280" s="4" t="s">
        <v>23</v>
      </c>
      <c r="H280" s="4" t="str">
        <f>"44654"</f>
        <v>44654</v>
      </c>
      <c r="I280" s="4" t="s">
        <v>24</v>
      </c>
      <c r="J280" s="4" t="str">
        <f>"(P) 330-674-9993"</f>
        <v>(P) 330-674-9993</v>
      </c>
      <c r="K280" s="4"/>
      <c r="L280" s="4" t="s">
        <v>782</v>
      </c>
      <c r="M280" s="4" t="s">
        <v>170</v>
      </c>
      <c r="N280" s="4" t="s">
        <v>40</v>
      </c>
      <c r="O280" s="4" t="s">
        <v>23</v>
      </c>
      <c r="P280" s="4" t="str">
        <f>"44654"</f>
        <v>44654</v>
      </c>
      <c r="Q280" s="4" t="s">
        <v>24</v>
      </c>
      <c r="R280" s="6">
        <v>44196</v>
      </c>
      <c r="S280" s="4" t="s">
        <v>76</v>
      </c>
    </row>
    <row r="281" spans="1:19" s="3" customFormat="1" ht="43.2" x14ac:dyDescent="0.3">
      <c r="A281" s="4" t="str">
        <f>"CB0002Y4"</f>
        <v>CB0002Y4</v>
      </c>
      <c r="B281" s="4"/>
      <c r="C281" s="4" t="s">
        <v>169</v>
      </c>
      <c r="D281" s="4" t="s">
        <v>186</v>
      </c>
      <c r="E281" s="4" t="s">
        <v>187</v>
      </c>
      <c r="F281" s="4" t="s">
        <v>74</v>
      </c>
      <c r="G281" s="4" t="s">
        <v>23</v>
      </c>
      <c r="H281" s="4" t="str">
        <f>"44681"</f>
        <v>44681</v>
      </c>
      <c r="I281" s="4" t="s">
        <v>24</v>
      </c>
      <c r="J281" s="4" t="str">
        <f>"(P) 330-852-3717"</f>
        <v>(P) 330-852-3717</v>
      </c>
      <c r="K281" s="4"/>
      <c r="L281" s="4" t="s">
        <v>652</v>
      </c>
      <c r="M281" s="4" t="s">
        <v>187</v>
      </c>
      <c r="N281" s="4" t="s">
        <v>74</v>
      </c>
      <c r="O281" s="4" t="s">
        <v>23</v>
      </c>
      <c r="P281" s="4" t="str">
        <f>"44681"</f>
        <v>44681</v>
      </c>
      <c r="Q281" s="4" t="s">
        <v>24</v>
      </c>
      <c r="R281" s="6">
        <v>44196</v>
      </c>
      <c r="S281" s="4" t="s">
        <v>46</v>
      </c>
    </row>
    <row r="282" spans="1:19" s="3" customFormat="1" ht="43.2" x14ac:dyDescent="0.3">
      <c r="A282" s="4" t="str">
        <f>"CB0010C9"</f>
        <v>CB0010C9</v>
      </c>
      <c r="B282" s="4" t="s">
        <v>653</v>
      </c>
      <c r="C282" s="4" t="s">
        <v>169</v>
      </c>
      <c r="D282" s="4" t="s">
        <v>20</v>
      </c>
      <c r="E282" s="4" t="s">
        <v>654</v>
      </c>
      <c r="F282" s="4" t="s">
        <v>99</v>
      </c>
      <c r="G282" s="4" t="s">
        <v>23</v>
      </c>
      <c r="H282" s="4" t="str">
        <f>"43824"</f>
        <v>43824</v>
      </c>
      <c r="I282" s="4" t="s">
        <v>134</v>
      </c>
      <c r="J282" s="4" t="str">
        <f>"(P) 740-545-9573"</f>
        <v>(P) 740-545-9573</v>
      </c>
      <c r="K282" s="4"/>
      <c r="L282" s="4" t="s">
        <v>916</v>
      </c>
      <c r="M282" s="4" t="s">
        <v>654</v>
      </c>
      <c r="N282" s="4" t="s">
        <v>99</v>
      </c>
      <c r="O282" s="4" t="s">
        <v>23</v>
      </c>
      <c r="P282" s="4" t="str">
        <f>"43824"</f>
        <v>43824</v>
      </c>
      <c r="Q282" s="4" t="s">
        <v>134</v>
      </c>
      <c r="R282" s="6">
        <v>44196</v>
      </c>
      <c r="S282" s="4" t="s">
        <v>46</v>
      </c>
    </row>
    <row r="283" spans="1:19" s="3" customFormat="1" ht="43.2" x14ac:dyDescent="0.3">
      <c r="A283" s="4" t="str">
        <f>"CB001289"</f>
        <v>CB001289</v>
      </c>
      <c r="B283" s="4"/>
      <c r="C283" s="4" t="s">
        <v>169</v>
      </c>
      <c r="D283" s="4" t="s">
        <v>55</v>
      </c>
      <c r="E283" s="4" t="s">
        <v>682</v>
      </c>
      <c r="F283" s="4" t="s">
        <v>22</v>
      </c>
      <c r="G283" s="4" t="s">
        <v>23</v>
      </c>
      <c r="H283" s="4" t="str">
        <f>"43804"</f>
        <v>43804</v>
      </c>
      <c r="I283" s="4" t="s">
        <v>24</v>
      </c>
      <c r="J283" s="4" t="str">
        <f>"(P) 330-897-0615 (M) 330-600-9955"</f>
        <v>(P) 330-897-0615 (M) 330-600-9955</v>
      </c>
      <c r="K283" s="4"/>
      <c r="L283" s="4" t="s">
        <v>1162</v>
      </c>
      <c r="M283" s="4" t="s">
        <v>682</v>
      </c>
      <c r="N283" s="4" t="s">
        <v>22</v>
      </c>
      <c r="O283" s="4" t="s">
        <v>23</v>
      </c>
      <c r="P283" s="4" t="str">
        <f>"43804"</f>
        <v>43804</v>
      </c>
      <c r="Q283" s="4" t="s">
        <v>24</v>
      </c>
      <c r="R283" s="6">
        <v>44196</v>
      </c>
      <c r="S283" s="4" t="s">
        <v>26</v>
      </c>
    </row>
    <row r="284" spans="1:19" s="3" customFormat="1" ht="43.2" x14ac:dyDescent="0.3">
      <c r="A284" s="4" t="str">
        <f>"CB0015L8"</f>
        <v>CB0015L8</v>
      </c>
      <c r="B284" s="4" t="s">
        <v>725</v>
      </c>
      <c r="C284" s="4" t="s">
        <v>169</v>
      </c>
      <c r="D284" s="4" t="s">
        <v>20</v>
      </c>
      <c r="E284" s="4" t="s">
        <v>726</v>
      </c>
      <c r="F284" s="4" t="s">
        <v>40</v>
      </c>
      <c r="G284" s="4" t="s">
        <v>23</v>
      </c>
      <c r="H284" s="4" t="str">
        <f>"44654"</f>
        <v>44654</v>
      </c>
      <c r="I284" s="4" t="s">
        <v>24</v>
      </c>
      <c r="J284" s="4" t="str">
        <f>"(P) 330-893-4603 (F) 330-893-0085"</f>
        <v>(P) 330-893-4603 (F) 330-893-0085</v>
      </c>
      <c r="K284" s="4"/>
      <c r="L284" s="4" t="s">
        <v>957</v>
      </c>
      <c r="M284" s="4" t="s">
        <v>726</v>
      </c>
      <c r="N284" s="4" t="s">
        <v>40</v>
      </c>
      <c r="O284" s="4" t="s">
        <v>23</v>
      </c>
      <c r="P284" s="4" t="str">
        <f>"44654"</f>
        <v>44654</v>
      </c>
      <c r="Q284" s="4" t="s">
        <v>24</v>
      </c>
      <c r="R284" s="6">
        <v>44196</v>
      </c>
      <c r="S284" s="4" t="s">
        <v>46</v>
      </c>
    </row>
    <row r="285" spans="1:19" s="3" customFormat="1" ht="43.2" x14ac:dyDescent="0.3">
      <c r="A285" s="4" t="str">
        <f>"CB001M71"</f>
        <v>CB001M71</v>
      </c>
      <c r="B285" s="4" t="s">
        <v>1013</v>
      </c>
      <c r="C285" s="4" t="s">
        <v>169</v>
      </c>
      <c r="D285" s="4" t="s">
        <v>20</v>
      </c>
      <c r="E285" s="4" t="s">
        <v>1014</v>
      </c>
      <c r="F285" s="4" t="s">
        <v>40</v>
      </c>
      <c r="G285" s="4" t="s">
        <v>23</v>
      </c>
      <c r="H285" s="4" t="str">
        <f>"44654"</f>
        <v>44654</v>
      </c>
      <c r="I285" s="4" t="s">
        <v>24</v>
      </c>
      <c r="J285" s="4" t="str">
        <f>""</f>
        <v/>
      </c>
      <c r="K285" s="4"/>
      <c r="L285" s="4" t="s">
        <v>493</v>
      </c>
      <c r="M285" s="4" t="s">
        <v>1014</v>
      </c>
      <c r="N285" s="4" t="s">
        <v>40</v>
      </c>
      <c r="O285" s="4" t="s">
        <v>23</v>
      </c>
      <c r="P285" s="4" t="str">
        <f>"44654"</f>
        <v>44654</v>
      </c>
      <c r="Q285" s="4" t="s">
        <v>24</v>
      </c>
      <c r="R285" s="6">
        <v>44196</v>
      </c>
      <c r="S285" s="4" t="s">
        <v>35</v>
      </c>
    </row>
    <row r="286" spans="1:19" s="3" customFormat="1" ht="43.2" x14ac:dyDescent="0.3">
      <c r="A286" s="4" t="str">
        <f>"CB001Q3Y"</f>
        <v>CB001Q3Y</v>
      </c>
      <c r="B286" s="4" t="s">
        <v>1101</v>
      </c>
      <c r="C286" s="4" t="s">
        <v>169</v>
      </c>
      <c r="D286" s="4" t="s">
        <v>49</v>
      </c>
      <c r="E286" s="4" t="s">
        <v>1102</v>
      </c>
      <c r="F286" s="4" t="s">
        <v>74</v>
      </c>
      <c r="G286" s="4" t="s">
        <v>23</v>
      </c>
      <c r="H286" s="4" t="str">
        <f>"44681"</f>
        <v>44681</v>
      </c>
      <c r="I286" s="4" t="s">
        <v>24</v>
      </c>
      <c r="J286" s="4" t="str">
        <f>"(M) 330-600-7684"</f>
        <v>(M) 330-600-7684</v>
      </c>
      <c r="K286" s="4"/>
      <c r="L286" s="4" t="s">
        <v>854</v>
      </c>
      <c r="M286" s="4" t="s">
        <v>1102</v>
      </c>
      <c r="N286" s="4" t="s">
        <v>74</v>
      </c>
      <c r="O286" s="4" t="s">
        <v>23</v>
      </c>
      <c r="P286" s="4" t="str">
        <f>"44681"</f>
        <v>44681</v>
      </c>
      <c r="Q286" s="4" t="s">
        <v>24</v>
      </c>
      <c r="R286" s="6">
        <v>44196</v>
      </c>
      <c r="S286" s="4" t="s">
        <v>46</v>
      </c>
    </row>
    <row r="287" spans="1:19" s="3" customFormat="1" ht="57.6" x14ac:dyDescent="0.3">
      <c r="A287" s="4" t="str">
        <f>"CB0021NC"</f>
        <v>CB0021NC</v>
      </c>
      <c r="B287" s="4" t="s">
        <v>1231</v>
      </c>
      <c r="C287" s="4" t="s">
        <v>169</v>
      </c>
      <c r="D287" s="4" t="s">
        <v>20</v>
      </c>
      <c r="E287" s="4" t="s">
        <v>1232</v>
      </c>
      <c r="F287" s="4" t="s">
        <v>1233</v>
      </c>
      <c r="G287" s="4" t="s">
        <v>23</v>
      </c>
      <c r="H287" s="4" t="str">
        <f>"43762"</f>
        <v>43762</v>
      </c>
      <c r="I287" s="4" t="s">
        <v>771</v>
      </c>
      <c r="J287" s="4" t="str">
        <f>"(P) 800-648-6760 (F) 740-796-9513 (M) 740-819-4929"</f>
        <v>(P) 800-648-6760 (F) 740-796-9513 (M) 740-819-4929</v>
      </c>
      <c r="K287" s="4"/>
      <c r="L287" s="4" t="s">
        <v>979</v>
      </c>
      <c r="M287" s="4" t="s">
        <v>1232</v>
      </c>
      <c r="N287" s="4" t="s">
        <v>1233</v>
      </c>
      <c r="O287" s="4" t="s">
        <v>23</v>
      </c>
      <c r="P287" s="4" t="str">
        <f>"43762"</f>
        <v>43762</v>
      </c>
      <c r="Q287" s="4" t="s">
        <v>771</v>
      </c>
      <c r="R287" s="6">
        <v>44196</v>
      </c>
      <c r="S287" s="4" t="s">
        <v>46</v>
      </c>
    </row>
    <row r="288" spans="1:19" s="3" customFormat="1" ht="43.2" x14ac:dyDescent="0.3">
      <c r="A288" s="4" t="str">
        <f>"CB002BQ1"</f>
        <v>CB002BQ1</v>
      </c>
      <c r="B288" s="4"/>
      <c r="C288" s="4" t="s">
        <v>169</v>
      </c>
      <c r="D288" s="4" t="s">
        <v>539</v>
      </c>
      <c r="E288" s="4" t="s">
        <v>1390</v>
      </c>
      <c r="F288" s="4" t="s">
        <v>1391</v>
      </c>
      <c r="G288" s="4" t="s">
        <v>23</v>
      </c>
      <c r="H288" s="4" t="str">
        <f>"45631"</f>
        <v>45631</v>
      </c>
      <c r="I288" s="4" t="s">
        <v>381</v>
      </c>
      <c r="J288" s="4" t="str">
        <f>""</f>
        <v/>
      </c>
      <c r="K288" s="4"/>
      <c r="L288" s="4" t="s">
        <v>1362</v>
      </c>
      <c r="M288" s="4" t="s">
        <v>1390</v>
      </c>
      <c r="N288" s="4" t="s">
        <v>1391</v>
      </c>
      <c r="O288" s="4" t="s">
        <v>23</v>
      </c>
      <c r="P288" s="4" t="str">
        <f>"45631"</f>
        <v>45631</v>
      </c>
      <c r="Q288" s="4" t="s">
        <v>381</v>
      </c>
      <c r="R288" s="6">
        <v>44196</v>
      </c>
      <c r="S288" s="4" t="s">
        <v>46</v>
      </c>
    </row>
    <row r="289" spans="1:19" s="3" customFormat="1" ht="43.2" x14ac:dyDescent="0.3">
      <c r="A289" s="4" t="str">
        <f>"CB0002QL"</f>
        <v>CB0002QL</v>
      </c>
      <c r="B289" s="4" t="s">
        <v>165</v>
      </c>
      <c r="C289" s="4" t="s">
        <v>166</v>
      </c>
      <c r="D289" s="4" t="s">
        <v>43</v>
      </c>
      <c r="E289" s="4" t="s">
        <v>167</v>
      </c>
      <c r="F289" s="4" t="s">
        <v>40</v>
      </c>
      <c r="G289" s="4" t="s">
        <v>23</v>
      </c>
      <c r="H289" s="4" t="str">
        <f>"44654"</f>
        <v>44654</v>
      </c>
      <c r="I289" s="4" t="s">
        <v>24</v>
      </c>
      <c r="J289" s="4" t="str">
        <f>"(P) 330-600-0159"</f>
        <v>(P) 330-600-0159</v>
      </c>
      <c r="K289" s="4"/>
      <c r="L289" s="4" t="s">
        <v>1412</v>
      </c>
      <c r="M289" s="4" t="s">
        <v>167</v>
      </c>
      <c r="N289" s="4" t="s">
        <v>40</v>
      </c>
      <c r="O289" s="4" t="s">
        <v>23</v>
      </c>
      <c r="P289" s="4" t="str">
        <f>"44654"</f>
        <v>44654</v>
      </c>
      <c r="Q289" s="4" t="s">
        <v>24</v>
      </c>
      <c r="R289" s="6">
        <v>44196</v>
      </c>
      <c r="S289" s="4" t="s">
        <v>26</v>
      </c>
    </row>
    <row r="290" spans="1:19" s="3" customFormat="1" ht="43.2" x14ac:dyDescent="0.3">
      <c r="A290" s="4" t="str">
        <f>"CB0006Q4"</f>
        <v>CB0006Q4</v>
      </c>
      <c r="B290" s="4" t="s">
        <v>377</v>
      </c>
      <c r="C290" s="4" t="s">
        <v>166</v>
      </c>
      <c r="D290" s="4" t="s">
        <v>378</v>
      </c>
      <c r="E290" s="4" t="s">
        <v>379</v>
      </c>
      <c r="F290" s="4" t="s">
        <v>380</v>
      </c>
      <c r="G290" s="4" t="s">
        <v>23</v>
      </c>
      <c r="H290" s="4" t="str">
        <f>"45658"</f>
        <v>45658</v>
      </c>
      <c r="I290" s="4" t="s">
        <v>381</v>
      </c>
      <c r="J290" s="4" t="str">
        <f>"(P) 740-379-2701 (M) 740-339-3453"</f>
        <v>(P) 740-379-2701 (M) 740-339-3453</v>
      </c>
      <c r="K290" s="4" t="s">
        <v>382</v>
      </c>
      <c r="L290" s="4" t="s">
        <v>766</v>
      </c>
      <c r="M290" s="4" t="s">
        <v>379</v>
      </c>
      <c r="N290" s="4" t="s">
        <v>380</v>
      </c>
      <c r="O290" s="4" t="s">
        <v>23</v>
      </c>
      <c r="P290" s="4" t="str">
        <f>"45658"</f>
        <v>45658</v>
      </c>
      <c r="Q290" s="4" t="s">
        <v>381</v>
      </c>
      <c r="R290" s="6">
        <v>44196</v>
      </c>
      <c r="S290" s="4" t="s">
        <v>46</v>
      </c>
    </row>
    <row r="291" spans="1:19" s="3" customFormat="1" ht="43.2" x14ac:dyDescent="0.3">
      <c r="A291" s="4" t="str">
        <f>"CB001S6J"</f>
        <v>CB001S6J</v>
      </c>
      <c r="B291" s="4"/>
      <c r="C291" s="4" t="s">
        <v>1145</v>
      </c>
      <c r="D291" s="4" t="s">
        <v>539</v>
      </c>
      <c r="E291" s="4" t="s">
        <v>1146</v>
      </c>
      <c r="F291" s="4" t="s">
        <v>40</v>
      </c>
      <c r="G291" s="4" t="s">
        <v>23</v>
      </c>
      <c r="H291" s="4" t="str">
        <f>"44654"</f>
        <v>44654</v>
      </c>
      <c r="I291" s="4" t="s">
        <v>134</v>
      </c>
      <c r="J291" s="4" t="str">
        <f>"(P) 330-600-0376"</f>
        <v>(P) 330-600-0376</v>
      </c>
      <c r="K291" s="4"/>
      <c r="L291" s="4" t="s">
        <v>606</v>
      </c>
      <c r="M291" s="4" t="s">
        <v>1146</v>
      </c>
      <c r="N291" s="4" t="s">
        <v>40</v>
      </c>
      <c r="O291" s="4" t="s">
        <v>23</v>
      </c>
      <c r="P291" s="4" t="str">
        <f>"44654"</f>
        <v>44654</v>
      </c>
      <c r="Q291" s="4" t="s">
        <v>134</v>
      </c>
      <c r="R291" s="6">
        <v>44196</v>
      </c>
      <c r="S291" s="4" t="s">
        <v>26</v>
      </c>
    </row>
    <row r="292" spans="1:19" s="3" customFormat="1" ht="43.2" x14ac:dyDescent="0.3">
      <c r="A292" s="4" t="str">
        <f>"CB002D32"</f>
        <v>CB002D32</v>
      </c>
      <c r="B292" s="4"/>
      <c r="C292" s="4" t="s">
        <v>1432</v>
      </c>
      <c r="D292" s="4" t="s">
        <v>43</v>
      </c>
      <c r="E292" s="4" t="s">
        <v>1433</v>
      </c>
      <c r="F292" s="4" t="s">
        <v>22</v>
      </c>
      <c r="G292" s="4" t="s">
        <v>23</v>
      </c>
      <c r="H292" s="4" t="str">
        <f>"43804"</f>
        <v>43804</v>
      </c>
      <c r="I292" s="4" t="s">
        <v>24</v>
      </c>
      <c r="J292" s="4" t="str">
        <f>"(M) 330-605-7528"</f>
        <v>(M) 330-605-7528</v>
      </c>
      <c r="K292" s="4"/>
      <c r="L292" s="4" t="s">
        <v>1044</v>
      </c>
      <c r="M292" s="4" t="s">
        <v>1433</v>
      </c>
      <c r="N292" s="4" t="s">
        <v>22</v>
      </c>
      <c r="O292" s="4" t="s">
        <v>23</v>
      </c>
      <c r="P292" s="4" t="str">
        <f>"43804"</f>
        <v>43804</v>
      </c>
      <c r="Q292" s="4" t="s">
        <v>24</v>
      </c>
      <c r="R292" s="6">
        <v>44196</v>
      </c>
      <c r="S292" s="4" t="s">
        <v>35</v>
      </c>
    </row>
    <row r="293" spans="1:19" s="3" customFormat="1" ht="57.6" x14ac:dyDescent="0.3">
      <c r="A293" s="4" t="str">
        <f>"CB000QDL"</f>
        <v>CB000QDL</v>
      </c>
      <c r="B293" s="4"/>
      <c r="C293" s="4" t="s">
        <v>554</v>
      </c>
      <c r="D293" s="4" t="s">
        <v>20</v>
      </c>
      <c r="E293" s="4" t="s">
        <v>555</v>
      </c>
      <c r="F293" s="4" t="s">
        <v>22</v>
      </c>
      <c r="G293" s="4" t="s">
        <v>23</v>
      </c>
      <c r="H293" s="4" t="str">
        <f>"43804"</f>
        <v>43804</v>
      </c>
      <c r="I293" s="4" t="s">
        <v>24</v>
      </c>
      <c r="J293" s="4" t="str">
        <f>"(P) 330-897-0954 (F) 330-897-0312 (M) 330-231-9998"</f>
        <v>(P) 330-897-0954 (F) 330-897-0312 (M) 330-231-9998</v>
      </c>
      <c r="K293" s="4"/>
      <c r="L293" s="4" t="s">
        <v>1155</v>
      </c>
      <c r="M293" s="4" t="s">
        <v>555</v>
      </c>
      <c r="N293" s="4" t="s">
        <v>22</v>
      </c>
      <c r="O293" s="4" t="s">
        <v>23</v>
      </c>
      <c r="P293" s="4" t="str">
        <f>"43804"</f>
        <v>43804</v>
      </c>
      <c r="Q293" s="4" t="s">
        <v>24</v>
      </c>
      <c r="R293" s="6">
        <v>44196</v>
      </c>
      <c r="S293" s="4" t="s">
        <v>46</v>
      </c>
    </row>
    <row r="294" spans="1:19" s="3" customFormat="1" ht="43.2" x14ac:dyDescent="0.3">
      <c r="A294" s="4" t="str">
        <f>"CB002AN9"</f>
        <v>CB002AN9</v>
      </c>
      <c r="B294" s="4" t="s">
        <v>1334</v>
      </c>
      <c r="C294" s="4" t="s">
        <v>554</v>
      </c>
      <c r="D294" s="4" t="s">
        <v>49</v>
      </c>
      <c r="E294" s="4" t="s">
        <v>1335</v>
      </c>
      <c r="F294" s="4" t="s">
        <v>51</v>
      </c>
      <c r="G294" s="4" t="s">
        <v>23</v>
      </c>
      <c r="H294" s="4" t="str">
        <f>"44606"</f>
        <v>44606</v>
      </c>
      <c r="I294" s="4" t="s">
        <v>52</v>
      </c>
      <c r="J294" s="4" t="str">
        <f>"(P) 330-695-9933 (F) 330-698-3200"</f>
        <v>(P) 330-695-9933 (F) 330-698-3200</v>
      </c>
      <c r="K294" s="4"/>
      <c r="L294" s="4" t="s">
        <v>623</v>
      </c>
      <c r="M294" s="4" t="s">
        <v>1335</v>
      </c>
      <c r="N294" s="4" t="s">
        <v>1337</v>
      </c>
      <c r="O294" s="4" t="s">
        <v>23</v>
      </c>
      <c r="P294" s="4" t="str">
        <f>"44606"</f>
        <v>44606</v>
      </c>
      <c r="Q294" s="4" t="s">
        <v>52</v>
      </c>
      <c r="R294" s="6">
        <v>44196</v>
      </c>
      <c r="S294" s="4" t="s">
        <v>46</v>
      </c>
    </row>
    <row r="295" spans="1:19" s="3" customFormat="1" ht="43.2" x14ac:dyDescent="0.3">
      <c r="A295" s="4" t="str">
        <f>"CB000QPZ"</f>
        <v>CB000QPZ</v>
      </c>
      <c r="B295" s="4"/>
      <c r="C295" s="4" t="s">
        <v>560</v>
      </c>
      <c r="D295" s="4" t="s">
        <v>43</v>
      </c>
      <c r="E295" s="4" t="s">
        <v>561</v>
      </c>
      <c r="F295" s="4" t="s">
        <v>40</v>
      </c>
      <c r="G295" s="4" t="s">
        <v>23</v>
      </c>
      <c r="H295" s="4" t="str">
        <f>"44654"</f>
        <v>44654</v>
      </c>
      <c r="I295" s="4" t="s">
        <v>24</v>
      </c>
      <c r="J295" s="4" t="str">
        <f>"(P) 330-674-1895 (F) 330-674-2078"</f>
        <v>(P) 330-674-1895 (F) 330-674-2078</v>
      </c>
      <c r="K295" s="4"/>
      <c r="L295" s="4" t="s">
        <v>866</v>
      </c>
      <c r="M295" s="4" t="s">
        <v>561</v>
      </c>
      <c r="N295" s="4" t="s">
        <v>40</v>
      </c>
      <c r="O295" s="4" t="s">
        <v>23</v>
      </c>
      <c r="P295" s="4" t="str">
        <f>"44654"</f>
        <v>44654</v>
      </c>
      <c r="Q295" s="4" t="s">
        <v>24</v>
      </c>
      <c r="R295" s="6">
        <v>44196</v>
      </c>
      <c r="S295" s="4" t="s">
        <v>72</v>
      </c>
    </row>
    <row r="296" spans="1:19" s="3" customFormat="1" ht="43.2" x14ac:dyDescent="0.3">
      <c r="A296" s="4" t="str">
        <f>"CB000YFH"</f>
        <v>CB000YFH</v>
      </c>
      <c r="B296" s="4"/>
      <c r="C296" s="4" t="s">
        <v>637</v>
      </c>
      <c r="D296" s="4" t="s">
        <v>43</v>
      </c>
      <c r="E296" s="4" t="s">
        <v>638</v>
      </c>
      <c r="F296" s="4" t="s">
        <v>51</v>
      </c>
      <c r="G296" s="4" t="s">
        <v>23</v>
      </c>
      <c r="H296" s="4" t="str">
        <f>"44606"</f>
        <v>44606</v>
      </c>
      <c r="I296" s="4" t="s">
        <v>52</v>
      </c>
      <c r="J296" s="4" t="str">
        <f>"(M) 330-600-0499"</f>
        <v>(M) 330-600-0499</v>
      </c>
      <c r="K296" s="4"/>
      <c r="L296" s="4" t="s">
        <v>1168</v>
      </c>
      <c r="M296" s="4" t="s">
        <v>638</v>
      </c>
      <c r="N296" s="4" t="s">
        <v>51</v>
      </c>
      <c r="O296" s="4" t="s">
        <v>23</v>
      </c>
      <c r="P296" s="4" t="str">
        <f>"44606"</f>
        <v>44606</v>
      </c>
      <c r="Q296" s="4" t="s">
        <v>52</v>
      </c>
      <c r="R296" s="6">
        <v>44196</v>
      </c>
      <c r="S296" s="4" t="s">
        <v>46</v>
      </c>
    </row>
    <row r="297" spans="1:19" s="3" customFormat="1" ht="43.2" x14ac:dyDescent="0.3">
      <c r="A297" s="4" t="str">
        <f>"CB001KKL"</f>
        <v>CB001KKL</v>
      </c>
      <c r="B297" s="4" t="s">
        <v>958</v>
      </c>
      <c r="C297" s="4" t="s">
        <v>637</v>
      </c>
      <c r="D297" s="4" t="s">
        <v>132</v>
      </c>
      <c r="E297" s="4" t="s">
        <v>959</v>
      </c>
      <c r="F297" s="4" t="s">
        <v>22</v>
      </c>
      <c r="G297" s="4" t="s">
        <v>23</v>
      </c>
      <c r="H297" s="4" t="str">
        <f>"43804"</f>
        <v>43804</v>
      </c>
      <c r="I297" s="4" t="s">
        <v>24</v>
      </c>
      <c r="J297" s="4" t="str">
        <f>"(P) 330-413-0470"</f>
        <v>(P) 330-413-0470</v>
      </c>
      <c r="K297" s="4"/>
      <c r="L297" s="4" t="s">
        <v>1282</v>
      </c>
      <c r="M297" s="4" t="s">
        <v>959</v>
      </c>
      <c r="N297" s="4" t="s">
        <v>22</v>
      </c>
      <c r="O297" s="4" t="s">
        <v>23</v>
      </c>
      <c r="P297" s="4" t="str">
        <f>"43804"</f>
        <v>43804</v>
      </c>
      <c r="Q297" s="4" t="s">
        <v>24</v>
      </c>
      <c r="R297" s="6">
        <v>44196</v>
      </c>
      <c r="S297" s="4" t="s">
        <v>46</v>
      </c>
    </row>
    <row r="298" spans="1:19" s="3" customFormat="1" ht="57.6" x14ac:dyDescent="0.3">
      <c r="A298" s="4" t="str">
        <f>"CB000UW3"</f>
        <v>CB000UW3</v>
      </c>
      <c r="B298" s="4" t="s">
        <v>610</v>
      </c>
      <c r="C298" s="4" t="s">
        <v>611</v>
      </c>
      <c r="D298" s="4" t="s">
        <v>43</v>
      </c>
      <c r="E298" s="4" t="s">
        <v>612</v>
      </c>
      <c r="F298" s="4" t="s">
        <v>613</v>
      </c>
      <c r="G298" s="4" t="s">
        <v>23</v>
      </c>
      <c r="H298" s="4" t="str">
        <f>"44618"</f>
        <v>44618</v>
      </c>
      <c r="I298" s="4" t="s">
        <v>52</v>
      </c>
      <c r="J298" s="4" t="str">
        <f>"(P) 330-857-6711 (F) 844-335-7521 (M) 330-641-0966"</f>
        <v>(P) 330-857-6711 (F) 844-335-7521 (M) 330-641-0966</v>
      </c>
      <c r="K298" s="4"/>
      <c r="L298" s="4" t="s">
        <v>1153</v>
      </c>
      <c r="M298" s="4" t="s">
        <v>612</v>
      </c>
      <c r="N298" s="4" t="s">
        <v>613</v>
      </c>
      <c r="O298" s="4" t="s">
        <v>23</v>
      </c>
      <c r="P298" s="4" t="str">
        <f>"44618"</f>
        <v>44618</v>
      </c>
      <c r="Q298" s="4" t="s">
        <v>52</v>
      </c>
      <c r="R298" s="6">
        <v>44196</v>
      </c>
      <c r="S298" s="4" t="s">
        <v>26</v>
      </c>
    </row>
    <row r="299" spans="1:19" s="3" customFormat="1" ht="43.2" x14ac:dyDescent="0.3">
      <c r="A299" s="4" t="str">
        <f>"CB0000CF"</f>
        <v>CB0000CF</v>
      </c>
      <c r="B299" s="4"/>
      <c r="C299" s="4" t="s">
        <v>54</v>
      </c>
      <c r="D299" s="4" t="s">
        <v>55</v>
      </c>
      <c r="E299" s="4" t="s">
        <v>56</v>
      </c>
      <c r="F299" s="4" t="s">
        <v>22</v>
      </c>
      <c r="G299" s="4" t="s">
        <v>23</v>
      </c>
      <c r="H299" s="4" t="str">
        <f>"43804"</f>
        <v>43804</v>
      </c>
      <c r="I299" s="4" t="s">
        <v>24</v>
      </c>
      <c r="J299" s="4" t="str">
        <f>"(P) 330-897-8034"</f>
        <v>(P) 330-897-8034</v>
      </c>
      <c r="K299" s="4"/>
      <c r="L299" s="4" t="s">
        <v>1284</v>
      </c>
      <c r="M299" s="4" t="s">
        <v>56</v>
      </c>
      <c r="N299" s="4" t="s">
        <v>22</v>
      </c>
      <c r="O299" s="4" t="s">
        <v>23</v>
      </c>
      <c r="P299" s="4" t="str">
        <f>"43804"</f>
        <v>43804</v>
      </c>
      <c r="Q299" s="4" t="s">
        <v>24</v>
      </c>
      <c r="R299" s="6">
        <v>44196</v>
      </c>
      <c r="S299" s="4" t="s">
        <v>26</v>
      </c>
    </row>
    <row r="300" spans="1:19" s="3" customFormat="1" ht="43.2" x14ac:dyDescent="0.3">
      <c r="A300" s="4" t="str">
        <f>"CB0001H1"</f>
        <v>CB0001H1</v>
      </c>
      <c r="B300" s="4"/>
      <c r="C300" s="4" t="s">
        <v>54</v>
      </c>
      <c r="D300" s="4" t="s">
        <v>59</v>
      </c>
      <c r="E300" s="4" t="s">
        <v>117</v>
      </c>
      <c r="F300" s="4" t="s">
        <v>40</v>
      </c>
      <c r="G300" s="4" t="s">
        <v>23</v>
      </c>
      <c r="H300" s="4" t="str">
        <f>"44654"</f>
        <v>44654</v>
      </c>
      <c r="I300" s="4" t="s">
        <v>24</v>
      </c>
      <c r="J300" s="4" t="str">
        <f>"(P) 330-359-0348"</f>
        <v>(P) 330-359-0348</v>
      </c>
      <c r="K300" s="4"/>
      <c r="L300" s="4" t="s">
        <v>1321</v>
      </c>
      <c r="M300" s="4" t="s">
        <v>119</v>
      </c>
      <c r="N300" s="4" t="s">
        <v>40</v>
      </c>
      <c r="O300" s="4" t="s">
        <v>23</v>
      </c>
      <c r="P300" s="4" t="str">
        <f>"44654"</f>
        <v>44654</v>
      </c>
      <c r="Q300" s="4" t="s">
        <v>24</v>
      </c>
      <c r="R300" s="6">
        <v>44196</v>
      </c>
      <c r="S300" s="4" t="s">
        <v>46</v>
      </c>
    </row>
    <row r="301" spans="1:19" s="3" customFormat="1" ht="43.2" x14ac:dyDescent="0.3">
      <c r="A301" s="4" t="str">
        <f>"CB00121P"</f>
        <v>CB00121P</v>
      </c>
      <c r="B301" s="4" t="s">
        <v>677</v>
      </c>
      <c r="C301" s="4" t="s">
        <v>54</v>
      </c>
      <c r="D301" s="4" t="s">
        <v>20</v>
      </c>
      <c r="E301" s="4" t="s">
        <v>678</v>
      </c>
      <c r="F301" s="4" t="s">
        <v>111</v>
      </c>
      <c r="G301" s="4" t="s">
        <v>23</v>
      </c>
      <c r="H301" s="4" t="str">
        <f>"44627"</f>
        <v>44627</v>
      </c>
      <c r="I301" s="4" t="s">
        <v>24</v>
      </c>
      <c r="J301" s="4" t="str">
        <f>"(P) 330-473-5280"</f>
        <v>(P) 330-473-5280</v>
      </c>
      <c r="K301" s="4"/>
      <c r="L301" s="4" t="s">
        <v>800</v>
      </c>
      <c r="M301" s="4" t="s">
        <v>678</v>
      </c>
      <c r="N301" s="4" t="s">
        <v>111</v>
      </c>
      <c r="O301" s="4" t="s">
        <v>23</v>
      </c>
      <c r="P301" s="4" t="str">
        <f>"44627"</f>
        <v>44627</v>
      </c>
      <c r="Q301" s="4" t="s">
        <v>24</v>
      </c>
      <c r="R301" s="6">
        <v>44196</v>
      </c>
      <c r="S301" s="4" t="s">
        <v>46</v>
      </c>
    </row>
    <row r="302" spans="1:19" s="3" customFormat="1" ht="43.2" x14ac:dyDescent="0.3">
      <c r="A302" s="4" t="str">
        <f>"CB002CK7"</f>
        <v>CB002CK7</v>
      </c>
      <c r="B302" s="4"/>
      <c r="C302" s="4" t="s">
        <v>54</v>
      </c>
      <c r="D302" s="4" t="s">
        <v>38</v>
      </c>
      <c r="E302" s="4" t="s">
        <v>1416</v>
      </c>
      <c r="F302" s="4" t="s">
        <v>51</v>
      </c>
      <c r="G302" s="4" t="s">
        <v>23</v>
      </c>
      <c r="H302" s="4" t="str">
        <f>"44606"</f>
        <v>44606</v>
      </c>
      <c r="I302" s="4" t="s">
        <v>52</v>
      </c>
      <c r="J302" s="4" t="str">
        <f>"(P) 330-275-5304"</f>
        <v>(P) 330-275-5304</v>
      </c>
      <c r="K302" s="4"/>
      <c r="L302" s="4" t="s">
        <v>891</v>
      </c>
      <c r="M302" s="4" t="s">
        <v>1416</v>
      </c>
      <c r="N302" s="4" t="s">
        <v>1337</v>
      </c>
      <c r="O302" s="4" t="s">
        <v>23</v>
      </c>
      <c r="P302" s="4" t="str">
        <f>"44606"</f>
        <v>44606</v>
      </c>
      <c r="Q302" s="4" t="s">
        <v>52</v>
      </c>
      <c r="R302" s="6">
        <v>44196</v>
      </c>
      <c r="S302" s="4" t="s">
        <v>35</v>
      </c>
    </row>
    <row r="303" spans="1:19" s="3" customFormat="1" ht="43.2" x14ac:dyDescent="0.3">
      <c r="A303" s="4" t="str">
        <f>"CB0001X8"</f>
        <v>CB0001X8</v>
      </c>
      <c r="B303" s="4"/>
      <c r="C303" s="4" t="s">
        <v>138</v>
      </c>
      <c r="D303" s="4" t="s">
        <v>49</v>
      </c>
      <c r="E303" s="4" t="s">
        <v>139</v>
      </c>
      <c r="F303" s="4" t="s">
        <v>74</v>
      </c>
      <c r="G303" s="4" t="s">
        <v>23</v>
      </c>
      <c r="H303" s="4" t="str">
        <f>"44681"</f>
        <v>44681</v>
      </c>
      <c r="I303" s="4" t="s">
        <v>66</v>
      </c>
      <c r="J303" s="4" t="str">
        <f>"(P) 330-852-4205 (M) 330-275-6519"</f>
        <v>(P) 330-852-4205 (M) 330-275-6519</v>
      </c>
      <c r="K303" s="4"/>
      <c r="L303" s="4" t="s">
        <v>816</v>
      </c>
      <c r="M303" s="4" t="s">
        <v>139</v>
      </c>
      <c r="N303" s="4" t="s">
        <v>74</v>
      </c>
      <c r="O303" s="4" t="s">
        <v>23</v>
      </c>
      <c r="P303" s="4" t="str">
        <f>"44681"</f>
        <v>44681</v>
      </c>
      <c r="Q303" s="4" t="s">
        <v>66</v>
      </c>
      <c r="R303" s="6">
        <v>44196</v>
      </c>
      <c r="S303" s="4" t="s">
        <v>46</v>
      </c>
    </row>
    <row r="304" spans="1:19" s="3" customFormat="1" ht="43.2" x14ac:dyDescent="0.3">
      <c r="A304" s="4" t="str">
        <f>"CB001RY3"</f>
        <v>CB001RY3</v>
      </c>
      <c r="B304" s="4" t="s">
        <v>1140</v>
      </c>
      <c r="C304" s="4" t="s">
        <v>138</v>
      </c>
      <c r="D304" s="4" t="s">
        <v>49</v>
      </c>
      <c r="E304" s="4" t="s">
        <v>1141</v>
      </c>
      <c r="F304" s="4" t="s">
        <v>22</v>
      </c>
      <c r="G304" s="4" t="s">
        <v>23</v>
      </c>
      <c r="H304" s="4" t="str">
        <f>"43804"</f>
        <v>43804</v>
      </c>
      <c r="I304" s="4" t="s">
        <v>24</v>
      </c>
      <c r="J304" s="4" t="str">
        <f>"(P) 330-897-1377"</f>
        <v>(P) 330-897-1377</v>
      </c>
      <c r="K304" s="4"/>
      <c r="L304" s="4" t="s">
        <v>1026</v>
      </c>
      <c r="M304" s="4" t="s">
        <v>1141</v>
      </c>
      <c r="N304" s="4" t="s">
        <v>22</v>
      </c>
      <c r="O304" s="4" t="s">
        <v>23</v>
      </c>
      <c r="P304" s="4" t="str">
        <f>"43804"</f>
        <v>43804</v>
      </c>
      <c r="Q304" s="4" t="s">
        <v>24</v>
      </c>
      <c r="R304" s="6">
        <v>44196</v>
      </c>
      <c r="S304" s="4" t="s">
        <v>46</v>
      </c>
    </row>
    <row r="305" spans="1:19" s="3" customFormat="1" ht="43.2" x14ac:dyDescent="0.3">
      <c r="A305" s="4" t="str">
        <f>"CB001EDK"</f>
        <v>CB001EDK</v>
      </c>
      <c r="B305" s="4"/>
      <c r="C305" s="4" t="s">
        <v>900</v>
      </c>
      <c r="D305" s="4" t="s">
        <v>43</v>
      </c>
      <c r="E305" s="4" t="s">
        <v>901</v>
      </c>
      <c r="F305" s="4" t="s">
        <v>40</v>
      </c>
      <c r="G305" s="4" t="s">
        <v>23</v>
      </c>
      <c r="H305" s="4" t="str">
        <f>"44654"</f>
        <v>44654</v>
      </c>
      <c r="I305" s="4" t="s">
        <v>24</v>
      </c>
      <c r="J305" s="4" t="str">
        <f>"(P) 330-674-4470"</f>
        <v>(P) 330-674-4470</v>
      </c>
      <c r="K305" s="4"/>
      <c r="L305" s="4" t="s">
        <v>943</v>
      </c>
      <c r="M305" s="4" t="s">
        <v>901</v>
      </c>
      <c r="N305" s="4" t="s">
        <v>40</v>
      </c>
      <c r="O305" s="4" t="s">
        <v>23</v>
      </c>
      <c r="P305" s="4" t="str">
        <f>"44654"</f>
        <v>44654</v>
      </c>
      <c r="Q305" s="4" t="s">
        <v>24</v>
      </c>
      <c r="R305" s="6">
        <v>44196</v>
      </c>
      <c r="S305" s="4" t="s">
        <v>46</v>
      </c>
    </row>
    <row r="306" spans="1:19" s="3" customFormat="1" ht="43.2" x14ac:dyDescent="0.3">
      <c r="A306" s="4" t="str">
        <f>"CB0029LH"</f>
        <v>CB0029LH</v>
      </c>
      <c r="B306" s="4" t="s">
        <v>1324</v>
      </c>
      <c r="C306" s="4" t="s">
        <v>900</v>
      </c>
      <c r="D306" s="4" t="s">
        <v>922</v>
      </c>
      <c r="E306" s="4" t="s">
        <v>1325</v>
      </c>
      <c r="F306" s="4" t="s">
        <v>40</v>
      </c>
      <c r="G306" s="4" t="s">
        <v>23</v>
      </c>
      <c r="H306" s="4" t="str">
        <f>"44654"</f>
        <v>44654</v>
      </c>
      <c r="I306" s="4" t="s">
        <v>24</v>
      </c>
      <c r="J306" s="4" t="str">
        <f>"(F) 330-601-6023 (M) 330-465-2743"</f>
        <v>(F) 330-601-6023 (M) 330-465-2743</v>
      </c>
      <c r="K306" s="4" t="s">
        <v>1326</v>
      </c>
      <c r="L306" s="4" t="s">
        <v>1291</v>
      </c>
      <c r="M306" s="4" t="s">
        <v>1325</v>
      </c>
      <c r="N306" s="4" t="s">
        <v>40</v>
      </c>
      <c r="O306" s="4" t="s">
        <v>23</v>
      </c>
      <c r="P306" s="4" t="str">
        <f>"44654"</f>
        <v>44654</v>
      </c>
      <c r="Q306" s="4" t="s">
        <v>24</v>
      </c>
      <c r="R306" s="6">
        <v>44196</v>
      </c>
      <c r="S306" s="4" t="s">
        <v>46</v>
      </c>
    </row>
    <row r="307" spans="1:19" s="3" customFormat="1" ht="43.2" x14ac:dyDescent="0.3">
      <c r="A307" s="4" t="str">
        <f>"CB00027K"</f>
        <v>CB00027K</v>
      </c>
      <c r="B307" s="4"/>
      <c r="C307" s="4" t="s">
        <v>153</v>
      </c>
      <c r="D307" s="4" t="s">
        <v>20</v>
      </c>
      <c r="E307" s="4" t="s">
        <v>154</v>
      </c>
      <c r="F307" s="4" t="s">
        <v>74</v>
      </c>
      <c r="G307" s="4" t="s">
        <v>23</v>
      </c>
      <c r="H307" s="4" t="str">
        <f>"44681"</f>
        <v>44681</v>
      </c>
      <c r="I307" s="4" t="s">
        <v>24</v>
      </c>
      <c r="J307" s="4" t="str">
        <f>"(P) 330-897-7610"</f>
        <v>(P) 330-897-7610</v>
      </c>
      <c r="K307" s="4"/>
      <c r="L307" s="4" t="s">
        <v>446</v>
      </c>
      <c r="M307" s="4" t="s">
        <v>154</v>
      </c>
      <c r="N307" s="4" t="s">
        <v>74</v>
      </c>
      <c r="O307" s="4" t="s">
        <v>23</v>
      </c>
      <c r="P307" s="4" t="str">
        <f>"44681"</f>
        <v>44681</v>
      </c>
      <c r="Q307" s="4" t="s">
        <v>24</v>
      </c>
      <c r="R307" s="6">
        <v>44196</v>
      </c>
      <c r="S307" s="4" t="s">
        <v>76</v>
      </c>
    </row>
    <row r="308" spans="1:19" s="3" customFormat="1" ht="43.2" x14ac:dyDescent="0.3">
      <c r="A308" s="4" t="str">
        <f>"CB00071B"</f>
        <v>CB00071B</v>
      </c>
      <c r="B308" s="4" t="s">
        <v>387</v>
      </c>
      <c r="C308" s="4" t="s">
        <v>388</v>
      </c>
      <c r="D308" s="4" t="s">
        <v>389</v>
      </c>
      <c r="E308" s="4" t="s">
        <v>390</v>
      </c>
      <c r="F308" s="4" t="s">
        <v>99</v>
      </c>
      <c r="G308" s="4" t="s">
        <v>23</v>
      </c>
      <c r="H308" s="4" t="str">
        <f>"43824"</f>
        <v>43824</v>
      </c>
      <c r="I308" s="4" t="s">
        <v>134</v>
      </c>
      <c r="J308" s="4" t="str">
        <f>"(P) 330-897-0099"</f>
        <v>(P) 330-897-0099</v>
      </c>
      <c r="K308" s="4"/>
      <c r="L308" s="4" t="s">
        <v>707</v>
      </c>
      <c r="M308" s="4" t="s">
        <v>392</v>
      </c>
      <c r="N308" s="4" t="s">
        <v>99</v>
      </c>
      <c r="O308" s="4" t="s">
        <v>23</v>
      </c>
      <c r="P308" s="4" t="str">
        <f>"43824"</f>
        <v>43824</v>
      </c>
      <c r="Q308" s="4" t="s">
        <v>134</v>
      </c>
      <c r="R308" s="6">
        <v>44196</v>
      </c>
      <c r="S308" s="4" t="s">
        <v>46</v>
      </c>
    </row>
    <row r="309" spans="1:19" s="3" customFormat="1" ht="43.2" x14ac:dyDescent="0.3">
      <c r="A309" s="4" t="str">
        <f>"CB00039B"</f>
        <v>CB00039B</v>
      </c>
      <c r="B309" s="4" t="s">
        <v>216</v>
      </c>
      <c r="C309" s="4" t="s">
        <v>217</v>
      </c>
      <c r="D309" s="4" t="s">
        <v>43</v>
      </c>
      <c r="E309" s="4" t="s">
        <v>218</v>
      </c>
      <c r="F309" s="4" t="s">
        <v>40</v>
      </c>
      <c r="G309" s="4" t="s">
        <v>23</v>
      </c>
      <c r="H309" s="4" t="str">
        <f>"44654"</f>
        <v>44654</v>
      </c>
      <c r="I309" s="4" t="s">
        <v>24</v>
      </c>
      <c r="J309" s="4" t="str">
        <f>"(P) 330-893-1466 Extn 1"</f>
        <v>(P) 330-893-1466 Extn 1</v>
      </c>
      <c r="K309" s="4"/>
      <c r="L309" s="4" t="s">
        <v>1009</v>
      </c>
      <c r="M309" s="4" t="s">
        <v>218</v>
      </c>
      <c r="N309" s="4" t="s">
        <v>40</v>
      </c>
      <c r="O309" s="4" t="s">
        <v>23</v>
      </c>
      <c r="P309" s="4" t="str">
        <f>"44654"</f>
        <v>44654</v>
      </c>
      <c r="Q309" s="4" t="s">
        <v>24</v>
      </c>
      <c r="R309" s="6">
        <v>44196</v>
      </c>
      <c r="S309" s="4" t="s">
        <v>72</v>
      </c>
    </row>
    <row r="310" spans="1:19" s="3" customFormat="1" ht="57.6" x14ac:dyDescent="0.3">
      <c r="A310" s="4" t="str">
        <f>"CB000N59"</f>
        <v>CB000N59</v>
      </c>
      <c r="B310" s="4" t="s">
        <v>477</v>
      </c>
      <c r="C310" s="4" t="s">
        <v>217</v>
      </c>
      <c r="D310" s="4" t="s">
        <v>55</v>
      </c>
      <c r="E310" s="4" t="s">
        <v>478</v>
      </c>
      <c r="F310" s="4" t="s">
        <v>111</v>
      </c>
      <c r="G310" s="4" t="s">
        <v>23</v>
      </c>
      <c r="H310" s="4" t="str">
        <f>"44627"</f>
        <v>44627</v>
      </c>
      <c r="I310" s="4" t="s">
        <v>24</v>
      </c>
      <c r="J310" s="4" t="str">
        <f>"(P) 330-674-5488 (F) 330-674-0360 (M) 330-473-9687"</f>
        <v>(P) 330-674-5488 (F) 330-674-0360 (M) 330-473-9687</v>
      </c>
      <c r="K310" s="4"/>
      <c r="L310" s="4" t="s">
        <v>643</v>
      </c>
      <c r="M310" s="4" t="s">
        <v>480</v>
      </c>
      <c r="N310" s="4" t="s">
        <v>111</v>
      </c>
      <c r="O310" s="4" t="s">
        <v>23</v>
      </c>
      <c r="P310" s="4" t="str">
        <f>"44627"</f>
        <v>44627</v>
      </c>
      <c r="Q310" s="4" t="s">
        <v>24</v>
      </c>
      <c r="R310" s="6">
        <v>44196</v>
      </c>
      <c r="S310" s="4" t="s">
        <v>46</v>
      </c>
    </row>
    <row r="311" spans="1:19" s="3" customFormat="1" ht="43.2" x14ac:dyDescent="0.3">
      <c r="A311" s="4" t="str">
        <f>"CB0015YH"</f>
        <v>CB0015YH</v>
      </c>
      <c r="B311" s="4" t="s">
        <v>728</v>
      </c>
      <c r="C311" s="4" t="s">
        <v>217</v>
      </c>
      <c r="D311" s="4" t="s">
        <v>20</v>
      </c>
      <c r="E311" s="4" t="s">
        <v>729</v>
      </c>
      <c r="F311" s="4" t="s">
        <v>22</v>
      </c>
      <c r="G311" s="4" t="s">
        <v>23</v>
      </c>
      <c r="H311" s="4" t="str">
        <f>"43804"</f>
        <v>43804</v>
      </c>
      <c r="I311" s="4" t="s">
        <v>24</v>
      </c>
      <c r="J311" s="4" t="str">
        <f>"(M) 330-204-5783"</f>
        <v>(M) 330-204-5783</v>
      </c>
      <c r="K311" s="4"/>
      <c r="L311" s="4" t="s">
        <v>429</v>
      </c>
      <c r="M311" s="4" t="s">
        <v>729</v>
      </c>
      <c r="N311" s="4" t="s">
        <v>22</v>
      </c>
      <c r="O311" s="4" t="s">
        <v>23</v>
      </c>
      <c r="P311" s="4" t="str">
        <f>"43804"</f>
        <v>43804</v>
      </c>
      <c r="Q311" s="4" t="s">
        <v>24</v>
      </c>
      <c r="R311" s="6">
        <v>44196</v>
      </c>
      <c r="S311" s="4" t="s">
        <v>76</v>
      </c>
    </row>
    <row r="312" spans="1:19" s="3" customFormat="1" ht="43.2" x14ac:dyDescent="0.3">
      <c r="A312" s="4" t="str">
        <f>"CB00021X"</f>
        <v>CB00021X</v>
      </c>
      <c r="B312" s="4" t="s">
        <v>145</v>
      </c>
      <c r="C312" s="4" t="s">
        <v>146</v>
      </c>
      <c r="D312" s="4" t="s">
        <v>43</v>
      </c>
      <c r="E312" s="4" t="s">
        <v>147</v>
      </c>
      <c r="F312" s="4" t="s">
        <v>40</v>
      </c>
      <c r="G312" s="4" t="s">
        <v>23</v>
      </c>
      <c r="H312" s="4" t="str">
        <f>"44654"</f>
        <v>44654</v>
      </c>
      <c r="I312" s="4" t="s">
        <v>24</v>
      </c>
      <c r="J312" s="4" t="str">
        <f>"(P) 330-674-1001"</f>
        <v>(P) 330-674-1001</v>
      </c>
      <c r="K312" s="4"/>
      <c r="L312" s="4" t="s">
        <v>373</v>
      </c>
      <c r="M312" s="4" t="s">
        <v>147</v>
      </c>
      <c r="N312" s="4" t="s">
        <v>40</v>
      </c>
      <c r="O312" s="4" t="s">
        <v>23</v>
      </c>
      <c r="P312" s="4" t="str">
        <f>"44654"</f>
        <v>44654</v>
      </c>
      <c r="Q312" s="4" t="s">
        <v>24</v>
      </c>
      <c r="R312" s="6">
        <v>44196</v>
      </c>
      <c r="S312" s="4" t="s">
        <v>76</v>
      </c>
    </row>
    <row r="313" spans="1:19" s="3" customFormat="1" ht="57.6" x14ac:dyDescent="0.3">
      <c r="A313" s="4" t="str">
        <f>"CB0014WR"</f>
        <v>CB0014WR</v>
      </c>
      <c r="B313" s="4" t="s">
        <v>709</v>
      </c>
      <c r="C313" s="4" t="s">
        <v>146</v>
      </c>
      <c r="D313" s="4" t="s">
        <v>20</v>
      </c>
      <c r="E313" s="4" t="s">
        <v>710</v>
      </c>
      <c r="F313" s="4" t="s">
        <v>40</v>
      </c>
      <c r="G313" s="4" t="s">
        <v>23</v>
      </c>
      <c r="H313" s="4" t="str">
        <f>"44654"</f>
        <v>44654</v>
      </c>
      <c r="I313" s="4" t="s">
        <v>24</v>
      </c>
      <c r="J313" s="4" t="str">
        <f>"(P) 330-359-6351 (F) 330-359-0823 (M) 330-465-4681"</f>
        <v>(P) 330-359-6351 (F) 330-359-0823 (M) 330-465-4681</v>
      </c>
      <c r="K313" s="4" t="s">
        <v>711</v>
      </c>
      <c r="L313" s="4" t="s">
        <v>1445</v>
      </c>
      <c r="M313" s="4" t="s">
        <v>710</v>
      </c>
      <c r="N313" s="4" t="s">
        <v>40</v>
      </c>
      <c r="O313" s="4" t="s">
        <v>23</v>
      </c>
      <c r="P313" s="4" t="str">
        <f>"44654"</f>
        <v>44654</v>
      </c>
      <c r="Q313" s="4" t="s">
        <v>24</v>
      </c>
      <c r="R313" s="6">
        <v>44196</v>
      </c>
      <c r="S313" s="4" t="s">
        <v>46</v>
      </c>
    </row>
    <row r="314" spans="1:19" s="3" customFormat="1" ht="43.2" x14ac:dyDescent="0.3">
      <c r="A314" s="4" t="str">
        <f>"CB00198G"</f>
        <v>CB00198G</v>
      </c>
      <c r="B314" s="4" t="s">
        <v>807</v>
      </c>
      <c r="C314" s="4" t="s">
        <v>146</v>
      </c>
      <c r="D314" s="4" t="s">
        <v>20</v>
      </c>
      <c r="E314" s="4" t="s">
        <v>808</v>
      </c>
      <c r="F314" s="4" t="s">
        <v>40</v>
      </c>
      <c r="G314" s="4" t="s">
        <v>23</v>
      </c>
      <c r="H314" s="4" t="str">
        <f>"44654"</f>
        <v>44654</v>
      </c>
      <c r="I314" s="4" t="s">
        <v>24</v>
      </c>
      <c r="J314" s="4" t="str">
        <f>"(P) 330-893-2725 (M) 330-231-5927"</f>
        <v>(P) 330-893-2725 (M) 330-231-5927</v>
      </c>
      <c r="K314" s="4" t="s">
        <v>809</v>
      </c>
      <c r="L314" s="4" t="s">
        <v>1425</v>
      </c>
      <c r="M314" s="4" t="s">
        <v>808</v>
      </c>
      <c r="N314" s="4" t="s">
        <v>40</v>
      </c>
      <c r="O314" s="4" t="s">
        <v>23</v>
      </c>
      <c r="P314" s="4" t="str">
        <f>"44654"</f>
        <v>44654</v>
      </c>
      <c r="Q314" s="4" t="s">
        <v>24</v>
      </c>
      <c r="R314" s="6">
        <v>44196</v>
      </c>
      <c r="S314" s="4" t="s">
        <v>76</v>
      </c>
    </row>
    <row r="315" spans="1:19" s="3" customFormat="1" ht="43.2" x14ac:dyDescent="0.3">
      <c r="A315" s="4" t="str">
        <f>"CB0020NG"</f>
        <v>CB0020NG</v>
      </c>
      <c r="B315" s="4" t="s">
        <v>1223</v>
      </c>
      <c r="C315" s="4" t="s">
        <v>1224</v>
      </c>
      <c r="D315" s="4" t="s">
        <v>20</v>
      </c>
      <c r="E315" s="4" t="s">
        <v>1225</v>
      </c>
      <c r="F315" s="4" t="s">
        <v>40</v>
      </c>
      <c r="G315" s="4" t="s">
        <v>23</v>
      </c>
      <c r="H315" s="4" t="str">
        <f>"44654"</f>
        <v>44654</v>
      </c>
      <c r="I315" s="4" t="s">
        <v>24</v>
      </c>
      <c r="J315" s="4" t="str">
        <f>"(P) 330-390-5956"</f>
        <v>(P) 330-390-5956</v>
      </c>
      <c r="K315" s="4" t="s">
        <v>1226</v>
      </c>
      <c r="L315" s="4" t="s">
        <v>1425</v>
      </c>
      <c r="M315" s="4" t="s">
        <v>1225</v>
      </c>
      <c r="N315" s="4" t="s">
        <v>40</v>
      </c>
      <c r="O315" s="4" t="s">
        <v>23</v>
      </c>
      <c r="P315" s="4" t="str">
        <f>"44654"</f>
        <v>44654</v>
      </c>
      <c r="Q315" s="4" t="s">
        <v>24</v>
      </c>
      <c r="R315" s="6">
        <v>44196</v>
      </c>
      <c r="S315" s="4" t="s">
        <v>35</v>
      </c>
    </row>
    <row r="316" spans="1:19" s="3" customFormat="1" ht="43.2" x14ac:dyDescent="0.3">
      <c r="A316" s="4" t="str">
        <f>"CB0018BE"</f>
        <v>CB0018BE</v>
      </c>
      <c r="B316" s="4" t="s">
        <v>783</v>
      </c>
      <c r="C316" s="4" t="s">
        <v>784</v>
      </c>
      <c r="D316" s="4" t="s">
        <v>414</v>
      </c>
      <c r="E316" s="4" t="s">
        <v>785</v>
      </c>
      <c r="F316" s="4" t="s">
        <v>74</v>
      </c>
      <c r="G316" s="4" t="s">
        <v>23</v>
      </c>
      <c r="H316" s="4" t="str">
        <f>"44681"</f>
        <v>44681</v>
      </c>
      <c r="I316" s="4" t="s">
        <v>66</v>
      </c>
      <c r="J316" s="4" t="str">
        <f>"(P) 330-852-3249 (M) 330-340-4786"</f>
        <v>(P) 330-852-3249 (M) 330-340-4786</v>
      </c>
      <c r="K316" s="4"/>
      <c r="L316" s="4" t="s">
        <v>1425</v>
      </c>
      <c r="M316" s="4" t="s">
        <v>785</v>
      </c>
      <c r="N316" s="4" t="s">
        <v>74</v>
      </c>
      <c r="O316" s="4" t="s">
        <v>23</v>
      </c>
      <c r="P316" s="4" t="str">
        <f>"44681"</f>
        <v>44681</v>
      </c>
      <c r="Q316" s="4" t="s">
        <v>66</v>
      </c>
      <c r="R316" s="6">
        <v>44196</v>
      </c>
      <c r="S316" s="4" t="s">
        <v>46</v>
      </c>
    </row>
    <row r="317" spans="1:19" s="3" customFormat="1" ht="43.2" x14ac:dyDescent="0.3">
      <c r="A317" s="4" t="str">
        <f>"CB000P9Y"</f>
        <v>CB000P9Y</v>
      </c>
      <c r="B317" s="4" t="s">
        <v>525</v>
      </c>
      <c r="C317" s="4" t="s">
        <v>526</v>
      </c>
      <c r="D317" s="4" t="s">
        <v>132</v>
      </c>
      <c r="E317" s="4" t="s">
        <v>527</v>
      </c>
      <c r="F317" s="4" t="s">
        <v>528</v>
      </c>
      <c r="G317" s="4" t="s">
        <v>23</v>
      </c>
      <c r="H317" s="4" t="str">
        <f>"43310"</f>
        <v>43310</v>
      </c>
      <c r="I317" s="4" t="s">
        <v>529</v>
      </c>
      <c r="J317" s="4" t="str">
        <f>"(P) 937-464-2143 (F) 937-954-0004"</f>
        <v>(P) 937-464-2143 (F) 937-954-0004</v>
      </c>
      <c r="K317" s="4"/>
      <c r="L317" s="4" t="s">
        <v>1425</v>
      </c>
      <c r="M317" s="4" t="s">
        <v>527</v>
      </c>
      <c r="N317" s="4" t="s">
        <v>528</v>
      </c>
      <c r="O317" s="4" t="s">
        <v>23</v>
      </c>
      <c r="P317" s="4" t="str">
        <f>"43310"</f>
        <v>43310</v>
      </c>
      <c r="Q317" s="4" t="s">
        <v>529</v>
      </c>
      <c r="R317" s="6">
        <v>44196</v>
      </c>
      <c r="S317" s="4" t="s">
        <v>46</v>
      </c>
    </row>
    <row r="318" spans="1:19" s="3" customFormat="1" ht="43.2" x14ac:dyDescent="0.3">
      <c r="A318" s="4" t="str">
        <f>"CB001K5D"</f>
        <v>CB001K5D</v>
      </c>
      <c r="B318" s="4" t="s">
        <v>946</v>
      </c>
      <c r="C318" s="4" t="s">
        <v>526</v>
      </c>
      <c r="D318" s="4" t="s">
        <v>93</v>
      </c>
      <c r="E318" s="4" t="s">
        <v>947</v>
      </c>
      <c r="F318" s="4" t="s">
        <v>40</v>
      </c>
      <c r="G318" s="4" t="s">
        <v>23</v>
      </c>
      <c r="H318" s="4" t="str">
        <f>"44654"</f>
        <v>44654</v>
      </c>
      <c r="I318" s="4" t="s">
        <v>24</v>
      </c>
      <c r="J318" s="4" t="str">
        <f>"(P) 330-893-3915 (M) 330-763-0049"</f>
        <v>(P) 330-893-3915 (M) 330-763-0049</v>
      </c>
      <c r="K318" s="4" t="s">
        <v>948</v>
      </c>
      <c r="L318" s="4" t="s">
        <v>1425</v>
      </c>
      <c r="M318" s="4" t="s">
        <v>947</v>
      </c>
      <c r="N318" s="4" t="s">
        <v>40</v>
      </c>
      <c r="O318" s="4" t="s">
        <v>23</v>
      </c>
      <c r="P318" s="4" t="str">
        <f>"44654"</f>
        <v>44654</v>
      </c>
      <c r="Q318" s="4" t="s">
        <v>24</v>
      </c>
      <c r="R318" s="6">
        <v>44196</v>
      </c>
      <c r="S318" s="4" t="s">
        <v>46</v>
      </c>
    </row>
    <row r="319" spans="1:19" s="3" customFormat="1" ht="43.2" x14ac:dyDescent="0.3">
      <c r="A319" s="4" t="str">
        <f>"CB0028MK"</f>
        <v>CB0028MK</v>
      </c>
      <c r="B319" s="4"/>
      <c r="C319" s="4" t="s">
        <v>526</v>
      </c>
      <c r="D319" s="4" t="s">
        <v>389</v>
      </c>
      <c r="E319" s="4" t="s">
        <v>1295</v>
      </c>
      <c r="F319" s="4" t="s">
        <v>51</v>
      </c>
      <c r="G319" s="4" t="s">
        <v>23</v>
      </c>
      <c r="H319" s="4" t="str">
        <f>"44606"</f>
        <v>44606</v>
      </c>
      <c r="I319" s="4" t="s">
        <v>52</v>
      </c>
      <c r="J319" s="4" t="str">
        <f>"(M) 330-439-8066"</f>
        <v>(M) 330-439-8066</v>
      </c>
      <c r="K319" s="4" t="s">
        <v>1296</v>
      </c>
      <c r="L319" s="4" t="s">
        <v>1425</v>
      </c>
      <c r="M319" s="4" t="s">
        <v>1295</v>
      </c>
      <c r="N319" s="4" t="s">
        <v>51</v>
      </c>
      <c r="O319" s="4" t="s">
        <v>23</v>
      </c>
      <c r="P319" s="4" t="str">
        <f>"44606"</f>
        <v>44606</v>
      </c>
      <c r="Q319" s="4" t="s">
        <v>52</v>
      </c>
      <c r="R319" s="6">
        <v>44196</v>
      </c>
      <c r="S319" s="4" t="s">
        <v>35</v>
      </c>
    </row>
    <row r="320" spans="1:19" s="3" customFormat="1" ht="43.2" x14ac:dyDescent="0.3">
      <c r="A320" s="4" t="str">
        <f>"CB0004T6"</f>
        <v>CB0004T6</v>
      </c>
      <c r="B320" s="4"/>
      <c r="C320" s="4" t="s">
        <v>269</v>
      </c>
      <c r="D320" s="4" t="s">
        <v>270</v>
      </c>
      <c r="E320" s="4" t="s">
        <v>271</v>
      </c>
      <c r="F320" s="4" t="s">
        <v>74</v>
      </c>
      <c r="G320" s="4" t="s">
        <v>23</v>
      </c>
      <c r="H320" s="4" t="str">
        <f>"44681"</f>
        <v>44681</v>
      </c>
      <c r="I320" s="4" t="s">
        <v>66</v>
      </c>
      <c r="J320" s="4" t="str">
        <f>"(M) 330-231-7914"</f>
        <v>(M) 330-231-7914</v>
      </c>
      <c r="K320" s="4"/>
      <c r="L320" s="4" t="s">
        <v>559</v>
      </c>
      <c r="M320" s="4" t="s">
        <v>271</v>
      </c>
      <c r="N320" s="4" t="s">
        <v>74</v>
      </c>
      <c r="O320" s="4" t="s">
        <v>23</v>
      </c>
      <c r="P320" s="4" t="str">
        <f>"44681"</f>
        <v>44681</v>
      </c>
      <c r="Q320" s="4" t="s">
        <v>66</v>
      </c>
      <c r="R320" s="6">
        <v>44196</v>
      </c>
      <c r="S320" s="4" t="s">
        <v>46</v>
      </c>
    </row>
    <row r="321" spans="1:19" s="3" customFormat="1" ht="43.2" x14ac:dyDescent="0.3">
      <c r="A321" s="4" t="str">
        <f>"CB000753"</f>
        <v>CB000753</v>
      </c>
      <c r="B321" s="4" t="s">
        <v>393</v>
      </c>
      <c r="C321" s="4" t="s">
        <v>394</v>
      </c>
      <c r="D321" s="4" t="s">
        <v>20</v>
      </c>
      <c r="E321" s="4" t="s">
        <v>395</v>
      </c>
      <c r="F321" s="4" t="s">
        <v>111</v>
      </c>
      <c r="G321" s="4" t="s">
        <v>23</v>
      </c>
      <c r="H321" s="4" t="str">
        <f>"44627"</f>
        <v>44627</v>
      </c>
      <c r="I321" s="4" t="s">
        <v>52</v>
      </c>
      <c r="J321" s="4" t="str">
        <f>"(P) 330-763-1436 (F) 330-275-5644"</f>
        <v>(P) 330-763-1436 (F) 330-275-5644</v>
      </c>
      <c r="K321" s="4" t="s">
        <v>396</v>
      </c>
      <c r="L321" s="4" t="s">
        <v>929</v>
      </c>
      <c r="M321" s="4" t="s">
        <v>395</v>
      </c>
      <c r="N321" s="4" t="s">
        <v>111</v>
      </c>
      <c r="O321" s="4" t="s">
        <v>23</v>
      </c>
      <c r="P321" s="4" t="str">
        <f>"44627"</f>
        <v>44627</v>
      </c>
      <c r="Q321" s="4" t="s">
        <v>52</v>
      </c>
      <c r="R321" s="6">
        <v>44196</v>
      </c>
      <c r="S321" s="4" t="s">
        <v>76</v>
      </c>
    </row>
    <row r="322" spans="1:19" s="3" customFormat="1" ht="43.2" x14ac:dyDescent="0.3">
      <c r="A322" s="4" t="str">
        <f>"CB0016SR"</f>
        <v>CB0016SR</v>
      </c>
      <c r="B322" s="4"/>
      <c r="C322" s="4" t="s">
        <v>394</v>
      </c>
      <c r="D322" s="4" t="s">
        <v>43</v>
      </c>
      <c r="E322" s="4" t="s">
        <v>751</v>
      </c>
      <c r="F322" s="4" t="s">
        <v>99</v>
      </c>
      <c r="G322" s="4" t="s">
        <v>23</v>
      </c>
      <c r="H322" s="4" t="str">
        <f>"43824"</f>
        <v>43824</v>
      </c>
      <c r="I322" s="4" t="s">
        <v>134</v>
      </c>
      <c r="J322" s="4" t="str">
        <f>"(M) 330-674-1685"</f>
        <v>(M) 330-674-1685</v>
      </c>
      <c r="K322" s="4"/>
      <c r="L322" s="4" t="s">
        <v>636</v>
      </c>
      <c r="M322" s="4" t="s">
        <v>751</v>
      </c>
      <c r="N322" s="4" t="s">
        <v>99</v>
      </c>
      <c r="O322" s="4" t="s">
        <v>23</v>
      </c>
      <c r="P322" s="4" t="str">
        <f>"43824"</f>
        <v>43824</v>
      </c>
      <c r="Q322" s="4" t="s">
        <v>134</v>
      </c>
      <c r="R322" s="6">
        <v>44196</v>
      </c>
      <c r="S322" s="4" t="s">
        <v>76</v>
      </c>
    </row>
    <row r="323" spans="1:19" s="3" customFormat="1" ht="43.2" x14ac:dyDescent="0.3">
      <c r="A323" s="4" t="str">
        <f>"CB001D2C"</f>
        <v>CB001D2C</v>
      </c>
      <c r="B323" s="4" t="s">
        <v>860</v>
      </c>
      <c r="C323" s="4" t="s">
        <v>394</v>
      </c>
      <c r="D323" s="4" t="s">
        <v>43</v>
      </c>
      <c r="E323" s="4" t="s">
        <v>861</v>
      </c>
      <c r="F323" s="4" t="s">
        <v>51</v>
      </c>
      <c r="G323" s="4" t="s">
        <v>23</v>
      </c>
      <c r="H323" s="4" t="str">
        <f>"44606"</f>
        <v>44606</v>
      </c>
      <c r="I323" s="4" t="s">
        <v>52</v>
      </c>
      <c r="J323" s="4" t="str">
        <f>"(M) 330-600-5473"</f>
        <v>(M) 330-600-5473</v>
      </c>
      <c r="K323" s="4"/>
      <c r="L323" s="4" t="s">
        <v>1191</v>
      </c>
      <c r="M323" s="4" t="s">
        <v>861</v>
      </c>
      <c r="N323" s="4" t="s">
        <v>51</v>
      </c>
      <c r="O323" s="4" t="s">
        <v>23</v>
      </c>
      <c r="P323" s="4" t="str">
        <f>"44606"</f>
        <v>44606</v>
      </c>
      <c r="Q323" s="4" t="s">
        <v>52</v>
      </c>
      <c r="R323" s="6">
        <v>44196</v>
      </c>
      <c r="S323" s="4" t="s">
        <v>26</v>
      </c>
    </row>
    <row r="324" spans="1:19" s="3" customFormat="1" ht="43.2" x14ac:dyDescent="0.3">
      <c r="A324" s="4" t="str">
        <f>"CB0017UH"</f>
        <v>CB0017UH</v>
      </c>
      <c r="B324" s="4"/>
      <c r="C324" s="4" t="s">
        <v>780</v>
      </c>
      <c r="D324" s="4" t="s">
        <v>49</v>
      </c>
      <c r="E324" s="4" t="s">
        <v>781</v>
      </c>
      <c r="F324" s="4" t="s">
        <v>99</v>
      </c>
      <c r="G324" s="4" t="s">
        <v>23</v>
      </c>
      <c r="H324" s="4" t="str">
        <f>"43824"</f>
        <v>43824</v>
      </c>
      <c r="I324" s="4" t="s">
        <v>134</v>
      </c>
      <c r="J324" s="4" t="str">
        <f>"(P) 330-897-0586"</f>
        <v>(P) 330-897-0586</v>
      </c>
      <c r="K324" s="4"/>
      <c r="L324" s="4" t="s">
        <v>1062</v>
      </c>
      <c r="M324" s="4" t="s">
        <v>781</v>
      </c>
      <c r="N324" s="4" t="s">
        <v>99</v>
      </c>
      <c r="O324" s="4" t="s">
        <v>23</v>
      </c>
      <c r="P324" s="4" t="str">
        <f>"43824"</f>
        <v>43824</v>
      </c>
      <c r="Q324" s="4" t="s">
        <v>134</v>
      </c>
      <c r="R324" s="6">
        <v>44196</v>
      </c>
      <c r="S324" s="4" t="s">
        <v>76</v>
      </c>
    </row>
    <row r="325" spans="1:19" s="3" customFormat="1" ht="43.2" x14ac:dyDescent="0.3">
      <c r="A325" s="4" t="str">
        <f>"CB0026KX"</f>
        <v>CB0026KX</v>
      </c>
      <c r="B325" s="4"/>
      <c r="C325" s="4" t="s">
        <v>1262</v>
      </c>
      <c r="D325" s="4" t="s">
        <v>38</v>
      </c>
      <c r="E325" s="4" t="s">
        <v>1263</v>
      </c>
      <c r="F325" s="4" t="s">
        <v>74</v>
      </c>
      <c r="G325" s="4" t="s">
        <v>23</v>
      </c>
      <c r="H325" s="4" t="str">
        <f>"44681"</f>
        <v>44681</v>
      </c>
      <c r="I325" s="4" t="s">
        <v>24</v>
      </c>
      <c r="J325" s="4" t="str">
        <f>"(P) 330-763-1866"</f>
        <v>(P) 330-763-1866</v>
      </c>
      <c r="K325" s="4"/>
      <c r="L325" s="4" t="s">
        <v>1207</v>
      </c>
      <c r="M325" s="4" t="s">
        <v>1263</v>
      </c>
      <c r="N325" s="4" t="s">
        <v>74</v>
      </c>
      <c r="O325" s="4" t="s">
        <v>23</v>
      </c>
      <c r="P325" s="4" t="str">
        <f>"44681"</f>
        <v>44681</v>
      </c>
      <c r="Q325" s="4" t="s">
        <v>24</v>
      </c>
      <c r="R325" s="6">
        <v>44196</v>
      </c>
      <c r="S325" s="4" t="s">
        <v>46</v>
      </c>
    </row>
    <row r="326" spans="1:19" s="3" customFormat="1" ht="43.2" x14ac:dyDescent="0.3">
      <c r="A326" s="4" t="str">
        <f>"CB000X82"</f>
        <v>CB000X82</v>
      </c>
      <c r="B326" s="4"/>
      <c r="C326" s="4" t="s">
        <v>625</v>
      </c>
      <c r="D326" s="4" t="s">
        <v>55</v>
      </c>
      <c r="E326" s="4" t="s">
        <v>626</v>
      </c>
      <c r="F326" s="4" t="s">
        <v>74</v>
      </c>
      <c r="G326" s="4" t="s">
        <v>23</v>
      </c>
      <c r="H326" s="4" t="str">
        <f>"44681"</f>
        <v>44681</v>
      </c>
      <c r="I326" s="4" t="s">
        <v>24</v>
      </c>
      <c r="J326" s="4" t="str">
        <f>"(P) 330-893-0308"</f>
        <v>(P) 330-893-0308</v>
      </c>
      <c r="K326" s="4"/>
      <c r="L326" s="4" t="s">
        <v>1207</v>
      </c>
      <c r="M326" s="4" t="s">
        <v>626</v>
      </c>
      <c r="N326" s="4" t="s">
        <v>74</v>
      </c>
      <c r="O326" s="4" t="s">
        <v>23</v>
      </c>
      <c r="P326" s="4" t="str">
        <f>"44681"</f>
        <v>44681</v>
      </c>
      <c r="Q326" s="4" t="s">
        <v>24</v>
      </c>
      <c r="R326" s="6">
        <v>44196</v>
      </c>
      <c r="S326" s="4" t="s">
        <v>46</v>
      </c>
    </row>
    <row r="327" spans="1:19" s="3" customFormat="1" ht="43.2" x14ac:dyDescent="0.3">
      <c r="A327" s="4" t="str">
        <f>"CB0021PA"</f>
        <v>CB0021PA</v>
      </c>
      <c r="B327" s="4" t="s">
        <v>1235</v>
      </c>
      <c r="C327" s="4" t="s">
        <v>625</v>
      </c>
      <c r="D327" s="4" t="s">
        <v>43</v>
      </c>
      <c r="E327" s="4" t="s">
        <v>1236</v>
      </c>
      <c r="F327" s="4" t="s">
        <v>40</v>
      </c>
      <c r="G327" s="4" t="s">
        <v>23</v>
      </c>
      <c r="H327" s="4" t="str">
        <f>"44654"</f>
        <v>44654</v>
      </c>
      <c r="I327" s="4" t="s">
        <v>134</v>
      </c>
      <c r="J327" s="4" t="str">
        <f>"(P) 330-275-0146"</f>
        <v>(P) 330-275-0146</v>
      </c>
      <c r="K327" s="4"/>
      <c r="L327" s="4" t="s">
        <v>195</v>
      </c>
      <c r="M327" s="4" t="s">
        <v>1236</v>
      </c>
      <c r="N327" s="4" t="s">
        <v>40</v>
      </c>
      <c r="O327" s="4" t="s">
        <v>23</v>
      </c>
      <c r="P327" s="4" t="str">
        <f>"44654"</f>
        <v>44654</v>
      </c>
      <c r="Q327" s="4" t="s">
        <v>134</v>
      </c>
      <c r="R327" s="6">
        <v>44196</v>
      </c>
      <c r="S327" s="4" t="s">
        <v>46</v>
      </c>
    </row>
    <row r="328" spans="1:19" s="3" customFormat="1" ht="43.2" x14ac:dyDescent="0.3">
      <c r="A328" s="4" t="str">
        <f>"CB0005R6"</f>
        <v>CB0005R6</v>
      </c>
      <c r="B328" s="4" t="s">
        <v>339</v>
      </c>
      <c r="C328" s="4" t="s">
        <v>340</v>
      </c>
      <c r="D328" s="4" t="s">
        <v>43</v>
      </c>
      <c r="E328" s="4" t="s">
        <v>341</v>
      </c>
      <c r="F328" s="4" t="s">
        <v>40</v>
      </c>
      <c r="G328" s="4" t="s">
        <v>23</v>
      </c>
      <c r="H328" s="4" t="str">
        <f>"44654"</f>
        <v>44654</v>
      </c>
      <c r="I328" s="4" t="s">
        <v>24</v>
      </c>
      <c r="J328" s="4" t="str">
        <f>"(P) 330-893-3852 (M) 330-473-8809"</f>
        <v>(P) 330-893-3852 (M) 330-473-8809</v>
      </c>
      <c r="K328" s="4" t="s">
        <v>342</v>
      </c>
      <c r="L328" s="4" t="s">
        <v>116</v>
      </c>
      <c r="M328" s="4" t="s">
        <v>341</v>
      </c>
      <c r="N328" s="4" t="s">
        <v>40</v>
      </c>
      <c r="O328" s="4" t="s">
        <v>23</v>
      </c>
      <c r="P328" s="4" t="str">
        <f>"44654"</f>
        <v>44654</v>
      </c>
      <c r="Q328" s="4" t="s">
        <v>24</v>
      </c>
      <c r="R328" s="6">
        <v>44196</v>
      </c>
      <c r="S328" s="4" t="s">
        <v>76</v>
      </c>
    </row>
    <row r="329" spans="1:19" s="3" customFormat="1" ht="43.2" x14ac:dyDescent="0.3">
      <c r="A329" s="4" t="str">
        <f>"CB000850"</f>
        <v>CB000850</v>
      </c>
      <c r="B329" s="4" t="s">
        <v>433</v>
      </c>
      <c r="C329" s="4" t="s">
        <v>340</v>
      </c>
      <c r="D329" s="4" t="s">
        <v>43</v>
      </c>
      <c r="E329" s="4" t="s">
        <v>434</v>
      </c>
      <c r="F329" s="4" t="s">
        <v>22</v>
      </c>
      <c r="G329" s="4" t="s">
        <v>23</v>
      </c>
      <c r="H329" s="4" t="str">
        <f>"43804"</f>
        <v>43804</v>
      </c>
      <c r="I329" s="4" t="s">
        <v>134</v>
      </c>
      <c r="J329" s="4" t="str">
        <f>"(P) 330-897-2313"</f>
        <v>(P) 330-897-2313</v>
      </c>
      <c r="K329" s="4"/>
      <c r="L329" s="4" t="s">
        <v>1072</v>
      </c>
      <c r="M329" s="4" t="s">
        <v>434</v>
      </c>
      <c r="N329" s="4" t="s">
        <v>22</v>
      </c>
      <c r="O329" s="4" t="s">
        <v>23</v>
      </c>
      <c r="P329" s="4" t="str">
        <f>"43804"</f>
        <v>43804</v>
      </c>
      <c r="Q329" s="4" t="s">
        <v>134</v>
      </c>
      <c r="R329" s="6">
        <v>44196</v>
      </c>
      <c r="S329" s="4" t="s">
        <v>35</v>
      </c>
    </row>
    <row r="330" spans="1:19" s="3" customFormat="1" ht="43.2" x14ac:dyDescent="0.3">
      <c r="A330" s="4" t="str">
        <f>"CB00108H"</f>
        <v>CB00108H</v>
      </c>
      <c r="B330" s="4"/>
      <c r="C330" s="4" t="s">
        <v>340</v>
      </c>
      <c r="D330" s="4" t="s">
        <v>49</v>
      </c>
      <c r="E330" s="4" t="s">
        <v>651</v>
      </c>
      <c r="F330" s="4" t="s">
        <v>40</v>
      </c>
      <c r="G330" s="4" t="s">
        <v>23</v>
      </c>
      <c r="H330" s="4" t="str">
        <f>"44654"</f>
        <v>44654</v>
      </c>
      <c r="I330" s="4" t="s">
        <v>24</v>
      </c>
      <c r="J330" s="4" t="str">
        <f>"(P) 330-600-0869"</f>
        <v>(P) 330-600-0869</v>
      </c>
      <c r="K330" s="4"/>
      <c r="L330" s="4" t="s">
        <v>198</v>
      </c>
      <c r="M330" s="4" t="s">
        <v>651</v>
      </c>
      <c r="N330" s="4" t="s">
        <v>40</v>
      </c>
      <c r="O330" s="4" t="s">
        <v>23</v>
      </c>
      <c r="P330" s="4" t="str">
        <f>"44654"</f>
        <v>44654</v>
      </c>
      <c r="Q330" s="4" t="s">
        <v>24</v>
      </c>
      <c r="R330" s="6">
        <v>44196</v>
      </c>
      <c r="S330" s="4" t="s">
        <v>76</v>
      </c>
    </row>
    <row r="331" spans="1:19" s="3" customFormat="1" ht="43.2" x14ac:dyDescent="0.3">
      <c r="A331" s="4" t="str">
        <f>"CB0024K6"</f>
        <v>CB0024K6</v>
      </c>
      <c r="B331" s="4" t="s">
        <v>1248</v>
      </c>
      <c r="C331" s="4" t="s">
        <v>340</v>
      </c>
      <c r="D331" s="4" t="s">
        <v>20</v>
      </c>
      <c r="E331" s="4" t="s">
        <v>1249</v>
      </c>
      <c r="F331" s="4" t="s">
        <v>99</v>
      </c>
      <c r="G331" s="4" t="s">
        <v>23</v>
      </c>
      <c r="H331" s="4" t="str">
        <f>"43824"</f>
        <v>43824</v>
      </c>
      <c r="I331" s="4" t="s">
        <v>134</v>
      </c>
      <c r="J331" s="4" t="str">
        <f>"(M) 330-407-8679"</f>
        <v>(M) 330-407-8679</v>
      </c>
      <c r="K331" s="4"/>
      <c r="L331" s="4" t="s">
        <v>1028</v>
      </c>
      <c r="M331" s="4" t="s">
        <v>1249</v>
      </c>
      <c r="N331" s="4" t="s">
        <v>99</v>
      </c>
      <c r="O331" s="4" t="s">
        <v>23</v>
      </c>
      <c r="P331" s="4" t="str">
        <f>"43824"</f>
        <v>43824</v>
      </c>
      <c r="Q331" s="4" t="s">
        <v>134</v>
      </c>
      <c r="R331" s="6">
        <v>44196</v>
      </c>
      <c r="S331" s="4" t="s">
        <v>35</v>
      </c>
    </row>
    <row r="332" spans="1:19" s="3" customFormat="1" ht="43.2" x14ac:dyDescent="0.3">
      <c r="A332" s="4" t="str">
        <f>"CB002B8Z"</f>
        <v>CB002B8Z</v>
      </c>
      <c r="B332" s="4"/>
      <c r="C332" s="4" t="s">
        <v>340</v>
      </c>
      <c r="D332" s="4" t="s">
        <v>20</v>
      </c>
      <c r="E332" s="4" t="s">
        <v>1368</v>
      </c>
      <c r="F332" s="4" t="s">
        <v>40</v>
      </c>
      <c r="G332" s="4" t="s">
        <v>23</v>
      </c>
      <c r="H332" s="4" t="str">
        <f>"44654"</f>
        <v>44654</v>
      </c>
      <c r="I332" s="4" t="s">
        <v>24</v>
      </c>
      <c r="J332" s="4" t="str">
        <f>"(P) 330-893-2106"</f>
        <v>(P) 330-893-2106</v>
      </c>
      <c r="K332" s="4"/>
      <c r="L332" s="4" t="s">
        <v>1048</v>
      </c>
      <c r="M332" s="4" t="s">
        <v>1368</v>
      </c>
      <c r="N332" s="4" t="s">
        <v>40</v>
      </c>
      <c r="O332" s="4" t="s">
        <v>23</v>
      </c>
      <c r="P332" s="4" t="str">
        <f>"44654"</f>
        <v>44654</v>
      </c>
      <c r="Q332" s="4" t="s">
        <v>24</v>
      </c>
      <c r="R332" s="6">
        <v>44196</v>
      </c>
      <c r="S332" s="4" t="s">
        <v>72</v>
      </c>
    </row>
    <row r="333" spans="1:19" s="3" customFormat="1" ht="43.2" x14ac:dyDescent="0.3">
      <c r="A333" s="4" t="str">
        <f>"CB000585"</f>
        <v>CB000585</v>
      </c>
      <c r="B333" s="4" t="s">
        <v>313</v>
      </c>
      <c r="C333" s="4" t="s">
        <v>314</v>
      </c>
      <c r="D333" s="4" t="s">
        <v>315</v>
      </c>
      <c r="E333" s="4" t="s">
        <v>316</v>
      </c>
      <c r="F333" s="4" t="s">
        <v>317</v>
      </c>
      <c r="G333" s="4" t="s">
        <v>23</v>
      </c>
      <c r="H333" s="4" t="str">
        <f>"45133"</f>
        <v>45133</v>
      </c>
      <c r="I333" s="4" t="s">
        <v>318</v>
      </c>
      <c r="J333" s="4" t="str">
        <f>"(M) 937-763-9251"</f>
        <v>(M) 937-763-9251</v>
      </c>
      <c r="K333" s="4" t="s">
        <v>319</v>
      </c>
      <c r="L333" s="4" t="s">
        <v>681</v>
      </c>
      <c r="M333" s="4" t="s">
        <v>321</v>
      </c>
      <c r="N333" s="4" t="s">
        <v>317</v>
      </c>
      <c r="O333" s="4" t="s">
        <v>23</v>
      </c>
      <c r="P333" s="4" t="str">
        <f>"45133"</f>
        <v>45133</v>
      </c>
      <c r="Q333" s="4" t="s">
        <v>318</v>
      </c>
      <c r="R333" s="6">
        <v>44196</v>
      </c>
      <c r="S333" s="4" t="s">
        <v>46</v>
      </c>
    </row>
    <row r="334" spans="1:19" s="3" customFormat="1" ht="43.2" x14ac:dyDescent="0.3">
      <c r="A334" s="4" t="str">
        <f>"CB001UBZ"</f>
        <v>CB001UBZ</v>
      </c>
      <c r="B334" s="4" t="s">
        <v>1178</v>
      </c>
      <c r="C334" s="4" t="s">
        <v>1179</v>
      </c>
      <c r="D334" s="4" t="s">
        <v>1180</v>
      </c>
      <c r="E334" s="4" t="s">
        <v>1181</v>
      </c>
      <c r="F334" s="4" t="s">
        <v>1182</v>
      </c>
      <c r="G334" s="4" t="s">
        <v>23</v>
      </c>
      <c r="H334" s="4" t="str">
        <f>"45653"</f>
        <v>45653</v>
      </c>
      <c r="I334" s="4" t="s">
        <v>1183</v>
      </c>
      <c r="J334" s="4" t="str">
        <f>"(P) 740-353-6932 (M) 740-727-8446"</f>
        <v>(P) 740-353-6932 (M) 740-727-8446</v>
      </c>
      <c r="K334" s="4" t="s">
        <v>1184</v>
      </c>
      <c r="L334" s="4" t="s">
        <v>970</v>
      </c>
      <c r="M334" s="4" t="s">
        <v>1181</v>
      </c>
      <c r="N334" s="4" t="s">
        <v>1182</v>
      </c>
      <c r="O334" s="4" t="s">
        <v>23</v>
      </c>
      <c r="P334" s="4" t="str">
        <f>"45653"</f>
        <v>45653</v>
      </c>
      <c r="Q334" s="4" t="s">
        <v>1183</v>
      </c>
      <c r="R334" s="6">
        <v>44196</v>
      </c>
      <c r="S334" s="4" t="s">
        <v>35</v>
      </c>
    </row>
    <row r="335" spans="1:19" s="3" customFormat="1" ht="43.2" x14ac:dyDescent="0.3">
      <c r="A335" s="4" t="str">
        <f>"CB0019W5"</f>
        <v>CB0019W5</v>
      </c>
      <c r="B335" s="4"/>
      <c r="C335" s="4" t="s">
        <v>821</v>
      </c>
      <c r="D335" s="4" t="s">
        <v>38</v>
      </c>
      <c r="E335" s="4" t="s">
        <v>822</v>
      </c>
      <c r="F335" s="4" t="s">
        <v>99</v>
      </c>
      <c r="G335" s="4" t="s">
        <v>23</v>
      </c>
      <c r="H335" s="4" t="str">
        <f>"43824"</f>
        <v>43824</v>
      </c>
      <c r="I335" s="4" t="s">
        <v>134</v>
      </c>
      <c r="J335" s="4" t="str">
        <f>"(P) 740-291-7013 (M) 330-390-5602"</f>
        <v>(P) 740-291-7013 (M) 330-390-5602</v>
      </c>
      <c r="K335" s="4"/>
      <c r="L335" s="4" t="s">
        <v>877</v>
      </c>
      <c r="M335" s="4" t="s">
        <v>822</v>
      </c>
      <c r="N335" s="4" t="s">
        <v>99</v>
      </c>
      <c r="O335" s="4" t="s">
        <v>23</v>
      </c>
      <c r="P335" s="4" t="str">
        <f>"43824"</f>
        <v>43824</v>
      </c>
      <c r="Q335" s="4" t="s">
        <v>134</v>
      </c>
      <c r="R335" s="6">
        <v>44196</v>
      </c>
      <c r="S335" s="4" t="s">
        <v>76</v>
      </c>
    </row>
    <row r="336" spans="1:19" s="3" customFormat="1" ht="43.2" x14ac:dyDescent="0.3">
      <c r="A336" s="4" t="str">
        <f>"CB000N3D"</f>
        <v>CB000N3D</v>
      </c>
      <c r="B336" s="4"/>
      <c r="C336" s="4" t="s">
        <v>469</v>
      </c>
      <c r="D336" s="4" t="s">
        <v>43</v>
      </c>
      <c r="E336" s="4" t="s">
        <v>470</v>
      </c>
      <c r="F336" s="4" t="s">
        <v>22</v>
      </c>
      <c r="G336" s="4" t="s">
        <v>23</v>
      </c>
      <c r="H336" s="4" t="str">
        <f>"43804"</f>
        <v>43804</v>
      </c>
      <c r="I336" s="4" t="s">
        <v>24</v>
      </c>
      <c r="J336" s="4" t="str">
        <f>"(P) 330-897-2373 (F) 330-897-1160"</f>
        <v>(P) 330-897-2373 (F) 330-897-1160</v>
      </c>
      <c r="K336" s="4"/>
      <c r="L336" s="4" t="s">
        <v>181</v>
      </c>
      <c r="M336" s="4" t="s">
        <v>470</v>
      </c>
      <c r="N336" s="4" t="s">
        <v>22</v>
      </c>
      <c r="O336" s="4" t="s">
        <v>23</v>
      </c>
      <c r="P336" s="4" t="str">
        <f>"43804"</f>
        <v>43804</v>
      </c>
      <c r="Q336" s="4" t="s">
        <v>24</v>
      </c>
      <c r="R336" s="6">
        <v>44196</v>
      </c>
      <c r="S336" s="4" t="s">
        <v>46</v>
      </c>
    </row>
    <row r="337" spans="1:19" s="3" customFormat="1" ht="43.2" x14ac:dyDescent="0.3">
      <c r="A337" s="4" t="str">
        <f>"CB001FG9"</f>
        <v>CB001FG9</v>
      </c>
      <c r="B337" s="4" t="s">
        <v>913</v>
      </c>
      <c r="C337" s="4" t="s">
        <v>469</v>
      </c>
      <c r="D337" s="4" t="s">
        <v>49</v>
      </c>
      <c r="E337" s="4" t="s">
        <v>914</v>
      </c>
      <c r="F337" s="4" t="s">
        <v>40</v>
      </c>
      <c r="G337" s="4" t="s">
        <v>23</v>
      </c>
      <c r="H337" s="4" t="str">
        <f>"44654"</f>
        <v>44654</v>
      </c>
      <c r="I337" s="4" t="s">
        <v>24</v>
      </c>
      <c r="J337" s="4" t="str">
        <f>"(P) 330-893-0318 (M) 234-301-7336"</f>
        <v>(P) 330-893-0318 (M) 234-301-7336</v>
      </c>
      <c r="K337" s="4" t="s">
        <v>915</v>
      </c>
      <c r="L337" s="4" t="s">
        <v>181</v>
      </c>
      <c r="M337" s="4" t="s">
        <v>914</v>
      </c>
      <c r="N337" s="4" t="s">
        <v>40</v>
      </c>
      <c r="O337" s="4" t="s">
        <v>23</v>
      </c>
      <c r="P337" s="4" t="str">
        <f>"44654"</f>
        <v>44654</v>
      </c>
      <c r="Q337" s="4" t="s">
        <v>24</v>
      </c>
      <c r="R337" s="6">
        <v>44196</v>
      </c>
      <c r="S337" s="4" t="s">
        <v>46</v>
      </c>
    </row>
    <row r="338" spans="1:19" s="3" customFormat="1" ht="43.2" x14ac:dyDescent="0.3">
      <c r="A338" s="4" t="str">
        <f>"CB0000PU"</f>
        <v>CB0000PU</v>
      </c>
      <c r="B338" s="4"/>
      <c r="C338" s="4" t="s">
        <v>77</v>
      </c>
      <c r="D338" s="4" t="s">
        <v>20</v>
      </c>
      <c r="E338" s="4" t="s">
        <v>78</v>
      </c>
      <c r="F338" s="4" t="s">
        <v>22</v>
      </c>
      <c r="G338" s="4" t="s">
        <v>23</v>
      </c>
      <c r="H338" s="4" t="str">
        <f>"43804"</f>
        <v>43804</v>
      </c>
      <c r="I338" s="4" t="s">
        <v>24</v>
      </c>
      <c r="J338" s="4" t="str">
        <f>"(P) 330-897-8019"</f>
        <v>(P) 330-897-8019</v>
      </c>
      <c r="K338" s="4"/>
      <c r="L338" s="4" t="s">
        <v>691</v>
      </c>
      <c r="M338" s="4" t="s">
        <v>78</v>
      </c>
      <c r="N338" s="4" t="s">
        <v>22</v>
      </c>
      <c r="O338" s="4" t="s">
        <v>23</v>
      </c>
      <c r="P338" s="4" t="str">
        <f>"43804"</f>
        <v>43804</v>
      </c>
      <c r="Q338" s="4" t="s">
        <v>24</v>
      </c>
      <c r="R338" s="6">
        <v>44196</v>
      </c>
      <c r="S338" s="4" t="s">
        <v>72</v>
      </c>
    </row>
    <row r="339" spans="1:19" s="3" customFormat="1" ht="43.2" x14ac:dyDescent="0.3">
      <c r="A339" s="4" t="str">
        <f>"CB001DFK"</f>
        <v>CB001DFK</v>
      </c>
      <c r="B339" s="4" t="s">
        <v>867</v>
      </c>
      <c r="C339" s="4" t="s">
        <v>77</v>
      </c>
      <c r="D339" s="4" t="s">
        <v>20</v>
      </c>
      <c r="E339" s="4" t="s">
        <v>868</v>
      </c>
      <c r="F339" s="4" t="s">
        <v>40</v>
      </c>
      <c r="G339" s="4" t="s">
        <v>23</v>
      </c>
      <c r="H339" s="4" t="str">
        <f>"44654"</f>
        <v>44654</v>
      </c>
      <c r="I339" s="4" t="s">
        <v>24</v>
      </c>
      <c r="J339" s="4" t="str">
        <f>"(P) 330-893-0284"</f>
        <v>(P) 330-893-0284</v>
      </c>
      <c r="K339" s="4"/>
      <c r="L339" s="4" t="s">
        <v>45</v>
      </c>
      <c r="M339" s="4" t="s">
        <v>868</v>
      </c>
      <c r="N339" s="4" t="s">
        <v>40</v>
      </c>
      <c r="O339" s="4" t="s">
        <v>23</v>
      </c>
      <c r="P339" s="4" t="str">
        <f>"44654"</f>
        <v>44654</v>
      </c>
      <c r="Q339" s="4" t="s">
        <v>24</v>
      </c>
      <c r="R339" s="6">
        <v>44196</v>
      </c>
      <c r="S339" s="4" t="s">
        <v>46</v>
      </c>
    </row>
    <row r="340" spans="1:19" s="3" customFormat="1" ht="43.2" x14ac:dyDescent="0.3">
      <c r="A340" s="4" t="str">
        <f>"CB001T8A"</f>
        <v>CB001T8A</v>
      </c>
      <c r="B340" s="4"/>
      <c r="C340" s="4" t="s">
        <v>77</v>
      </c>
      <c r="D340" s="4" t="s">
        <v>49</v>
      </c>
      <c r="E340" s="4" t="s">
        <v>1161</v>
      </c>
      <c r="F340" s="4" t="s">
        <v>99</v>
      </c>
      <c r="G340" s="4" t="s">
        <v>23</v>
      </c>
      <c r="H340" s="4" t="str">
        <f>"43824"</f>
        <v>43824</v>
      </c>
      <c r="I340" s="4" t="s">
        <v>134</v>
      </c>
      <c r="J340" s="4" t="str">
        <f>"(P) 330-897-6602 (F) 330-897-7830"</f>
        <v>(P) 330-897-6602 (F) 330-897-7830</v>
      </c>
      <c r="K340" s="4"/>
      <c r="L340" s="4" t="s">
        <v>222</v>
      </c>
      <c r="M340" s="4" t="s">
        <v>1161</v>
      </c>
      <c r="N340" s="4" t="s">
        <v>99</v>
      </c>
      <c r="O340" s="4" t="s">
        <v>23</v>
      </c>
      <c r="P340" s="4" t="str">
        <f>"43824"</f>
        <v>43824</v>
      </c>
      <c r="Q340" s="4" t="s">
        <v>134</v>
      </c>
      <c r="R340" s="6">
        <v>44196</v>
      </c>
      <c r="S340" s="4" t="s">
        <v>46</v>
      </c>
    </row>
    <row r="341" spans="1:19" s="3" customFormat="1" ht="43.2" x14ac:dyDescent="0.3">
      <c r="A341" s="4" t="str">
        <f>"CB00290Q"</f>
        <v>CB00290Q</v>
      </c>
      <c r="B341" s="4" t="s">
        <v>1307</v>
      </c>
      <c r="C341" s="4" t="s">
        <v>77</v>
      </c>
      <c r="D341" s="4" t="s">
        <v>20</v>
      </c>
      <c r="E341" s="4" t="s">
        <v>1308</v>
      </c>
      <c r="F341" s="4" t="s">
        <v>51</v>
      </c>
      <c r="G341" s="4" t="s">
        <v>23</v>
      </c>
      <c r="H341" s="4" t="str">
        <f>"44606"</f>
        <v>44606</v>
      </c>
      <c r="I341" s="4" t="s">
        <v>52</v>
      </c>
      <c r="J341" s="4" t="str">
        <f>"(P) 234-249-9769 (M) 330-317-0736"</f>
        <v>(P) 234-249-9769 (M) 330-317-0736</v>
      </c>
      <c r="K341" s="4" t="s">
        <v>1309</v>
      </c>
      <c r="L341" s="4" t="s">
        <v>1080</v>
      </c>
      <c r="M341" s="4" t="s">
        <v>1308</v>
      </c>
      <c r="N341" s="4" t="s">
        <v>51</v>
      </c>
      <c r="O341" s="4" t="s">
        <v>23</v>
      </c>
      <c r="P341" s="4" t="str">
        <f>"44606"</f>
        <v>44606</v>
      </c>
      <c r="Q341" s="4" t="s">
        <v>52</v>
      </c>
      <c r="R341" s="6">
        <v>44196</v>
      </c>
      <c r="S341" s="4" t="s">
        <v>46</v>
      </c>
    </row>
    <row r="342" spans="1:19" s="3" customFormat="1" ht="43.2" x14ac:dyDescent="0.3">
      <c r="A342" s="4" t="str">
        <f>"CB001JKQ"</f>
        <v>CB001JKQ</v>
      </c>
      <c r="B342" s="4"/>
      <c r="C342" s="4" t="s">
        <v>934</v>
      </c>
      <c r="D342" s="4" t="s">
        <v>20</v>
      </c>
      <c r="E342" s="4" t="s">
        <v>935</v>
      </c>
      <c r="F342" s="4" t="s">
        <v>65</v>
      </c>
      <c r="G342" s="4" t="s">
        <v>23</v>
      </c>
      <c r="H342" s="4" t="str">
        <f>"44624"</f>
        <v>44624</v>
      </c>
      <c r="I342" s="4" t="s">
        <v>66</v>
      </c>
      <c r="J342" s="4" t="str">
        <f>"(P) 330-260-1368"</f>
        <v>(P) 330-260-1368</v>
      </c>
      <c r="K342" s="4" t="s">
        <v>936</v>
      </c>
      <c r="L342" s="4" t="s">
        <v>152</v>
      </c>
      <c r="M342" s="4" t="s">
        <v>935</v>
      </c>
      <c r="N342" s="4" t="s">
        <v>65</v>
      </c>
      <c r="O342" s="4" t="s">
        <v>23</v>
      </c>
      <c r="P342" s="4" t="str">
        <f>"44624"</f>
        <v>44624</v>
      </c>
      <c r="Q342" s="4" t="s">
        <v>66</v>
      </c>
      <c r="R342" s="6">
        <v>44196</v>
      </c>
      <c r="S342" s="4" t="s">
        <v>46</v>
      </c>
    </row>
    <row r="343" spans="1:19" s="3" customFormat="1" ht="43.2" x14ac:dyDescent="0.3">
      <c r="A343" s="4" t="str">
        <f>"CB0004V2"</f>
        <v>CB0004V2</v>
      </c>
      <c r="B343" s="4" t="s">
        <v>273</v>
      </c>
      <c r="C343" s="4" t="s">
        <v>274</v>
      </c>
      <c r="D343" s="4" t="s">
        <v>270</v>
      </c>
      <c r="E343" s="4" t="s">
        <v>275</v>
      </c>
      <c r="F343" s="4" t="s">
        <v>40</v>
      </c>
      <c r="G343" s="4" t="s">
        <v>23</v>
      </c>
      <c r="H343" s="4" t="str">
        <f>"44654"</f>
        <v>44654</v>
      </c>
      <c r="I343" s="4" t="s">
        <v>24</v>
      </c>
      <c r="J343" s="4" t="str">
        <f>"(M) 330-674-7517"</f>
        <v>(M) 330-674-7517</v>
      </c>
      <c r="K343" s="4"/>
      <c r="L343" s="4" t="s">
        <v>888</v>
      </c>
      <c r="M343" s="4" t="s">
        <v>275</v>
      </c>
      <c r="N343" s="4" t="s">
        <v>40</v>
      </c>
      <c r="O343" s="4" t="s">
        <v>23</v>
      </c>
      <c r="P343" s="4" t="str">
        <f>"44654"</f>
        <v>44654</v>
      </c>
      <c r="Q343" s="4" t="s">
        <v>24</v>
      </c>
      <c r="R343" s="6">
        <v>44196</v>
      </c>
      <c r="S343" s="4" t="s">
        <v>76</v>
      </c>
    </row>
    <row r="344" spans="1:19" s="3" customFormat="1" ht="57.6" x14ac:dyDescent="0.3">
      <c r="A344" s="4" t="str">
        <f>"CB000UY0"</f>
        <v>CB000UY0</v>
      </c>
      <c r="B344" s="4" t="s">
        <v>615</v>
      </c>
      <c r="C344" s="4" t="s">
        <v>274</v>
      </c>
      <c r="D344" s="4" t="s">
        <v>466</v>
      </c>
      <c r="E344" s="4" t="s">
        <v>616</v>
      </c>
      <c r="F344" s="4" t="s">
        <v>617</v>
      </c>
      <c r="G344" s="4" t="s">
        <v>23</v>
      </c>
      <c r="H344" s="4" t="str">
        <f>"45660"</f>
        <v>45660</v>
      </c>
      <c r="I344" s="4" t="s">
        <v>604</v>
      </c>
      <c r="J344" s="4" t="str">
        <f>"(P) 937-386-2171 (F) 937-386-2909 (M) 937-798-5334"</f>
        <v>(P) 937-386-2171 (F) 937-386-2909 (M) 937-798-5334</v>
      </c>
      <c r="K344" s="4"/>
      <c r="L344" s="4" t="s">
        <v>1323</v>
      </c>
      <c r="M344" s="4" t="s">
        <v>616</v>
      </c>
      <c r="N344" s="4" t="s">
        <v>617</v>
      </c>
      <c r="O344" s="4" t="s">
        <v>23</v>
      </c>
      <c r="P344" s="4" t="str">
        <f>"45660"</f>
        <v>45660</v>
      </c>
      <c r="Q344" s="4" t="s">
        <v>604</v>
      </c>
      <c r="R344" s="6">
        <v>44196</v>
      </c>
      <c r="S344" s="4" t="s">
        <v>72</v>
      </c>
    </row>
    <row r="345" spans="1:19" s="3" customFormat="1" ht="43.2" x14ac:dyDescent="0.3">
      <c r="A345" s="4" t="str">
        <f>"CB0010Z2"</f>
        <v>CB0010Z2</v>
      </c>
      <c r="B345" s="4"/>
      <c r="C345" s="4" t="s">
        <v>274</v>
      </c>
      <c r="D345" s="4" t="s">
        <v>502</v>
      </c>
      <c r="E345" s="4" t="s">
        <v>660</v>
      </c>
      <c r="F345" s="4" t="s">
        <v>544</v>
      </c>
      <c r="G345" s="4" t="s">
        <v>23</v>
      </c>
      <c r="H345" s="4" t="str">
        <f>"43028"</f>
        <v>43028</v>
      </c>
      <c r="I345" s="4" t="s">
        <v>505</v>
      </c>
      <c r="J345" s="4" t="str">
        <f>"(P) 740-599-9181 (M) 740-599-9181"</f>
        <v>(P) 740-599-9181 (M) 740-599-9181</v>
      </c>
      <c r="K345" s="4"/>
      <c r="L345" s="4" t="s">
        <v>976</v>
      </c>
      <c r="M345" s="4" t="s">
        <v>660</v>
      </c>
      <c r="N345" s="4" t="s">
        <v>544</v>
      </c>
      <c r="O345" s="4" t="s">
        <v>23</v>
      </c>
      <c r="P345" s="4" t="str">
        <f>"43028"</f>
        <v>43028</v>
      </c>
      <c r="Q345" s="4" t="s">
        <v>505</v>
      </c>
      <c r="R345" s="6">
        <v>44196</v>
      </c>
      <c r="S345" s="4" t="s">
        <v>76</v>
      </c>
    </row>
    <row r="346" spans="1:19" s="3" customFormat="1" ht="43.2" x14ac:dyDescent="0.3">
      <c r="A346" s="4" t="str">
        <f>"CB00176U"</f>
        <v>CB00176U</v>
      </c>
      <c r="B346" s="4"/>
      <c r="C346" s="4" t="s">
        <v>274</v>
      </c>
      <c r="D346" s="4" t="s">
        <v>20</v>
      </c>
      <c r="E346" s="4" t="s">
        <v>756</v>
      </c>
      <c r="F346" s="4" t="s">
        <v>757</v>
      </c>
      <c r="G346" s="4" t="s">
        <v>23</v>
      </c>
      <c r="H346" s="4" t="str">
        <f>"44690"</f>
        <v>44690</v>
      </c>
      <c r="I346" s="4" t="s">
        <v>24</v>
      </c>
      <c r="J346" s="4" t="str">
        <f>"(M) 330-359-0373"</f>
        <v>(M) 330-359-0373</v>
      </c>
      <c r="K346" s="4"/>
      <c r="L346" s="4" t="s">
        <v>412</v>
      </c>
      <c r="M346" s="4" t="s">
        <v>759</v>
      </c>
      <c r="N346" s="4" t="s">
        <v>65</v>
      </c>
      <c r="O346" s="4" t="s">
        <v>23</v>
      </c>
      <c r="P346" s="4" t="str">
        <f>"44624"</f>
        <v>44624</v>
      </c>
      <c r="Q346" s="4" t="s">
        <v>24</v>
      </c>
      <c r="R346" s="6">
        <v>44196</v>
      </c>
      <c r="S346" s="4" t="s">
        <v>46</v>
      </c>
    </row>
    <row r="347" spans="1:19" s="3" customFormat="1" ht="43.2" x14ac:dyDescent="0.3">
      <c r="A347" s="4" t="str">
        <f>"CB001KDY"</f>
        <v>CB001KDY</v>
      </c>
      <c r="B347" s="4" t="s">
        <v>692</v>
      </c>
      <c r="C347" s="4" t="s">
        <v>274</v>
      </c>
      <c r="D347" s="4" t="s">
        <v>20</v>
      </c>
      <c r="E347" s="4" t="s">
        <v>954</v>
      </c>
      <c r="F347" s="4" t="s">
        <v>74</v>
      </c>
      <c r="G347" s="4" t="s">
        <v>23</v>
      </c>
      <c r="H347" s="4" t="str">
        <f>"44681"</f>
        <v>44681</v>
      </c>
      <c r="I347" s="4" t="s">
        <v>24</v>
      </c>
      <c r="J347" s="4" t="str">
        <f>"(P) 330-852-3717"</f>
        <v>(P) 330-852-3717</v>
      </c>
      <c r="K347" s="4"/>
      <c r="L347" s="4" t="s">
        <v>160</v>
      </c>
      <c r="M347" s="4" t="s">
        <v>954</v>
      </c>
      <c r="N347" s="4" t="s">
        <v>74</v>
      </c>
      <c r="O347" s="4" t="s">
        <v>23</v>
      </c>
      <c r="P347" s="4" t="str">
        <f>"44681"</f>
        <v>44681</v>
      </c>
      <c r="Q347" s="4" t="s">
        <v>24</v>
      </c>
      <c r="R347" s="6">
        <v>44196</v>
      </c>
      <c r="S347" s="4" t="s">
        <v>46</v>
      </c>
    </row>
    <row r="348" spans="1:19" s="3" customFormat="1" ht="43.2" x14ac:dyDescent="0.3">
      <c r="A348" s="4" t="str">
        <f>"CB001KGS"</f>
        <v>CB001KGS</v>
      </c>
      <c r="B348" s="4"/>
      <c r="C348" s="4" t="s">
        <v>274</v>
      </c>
      <c r="D348" s="4" t="s">
        <v>49</v>
      </c>
      <c r="E348" s="4" t="s">
        <v>956</v>
      </c>
      <c r="F348" s="4" t="s">
        <v>22</v>
      </c>
      <c r="G348" s="4" t="s">
        <v>23</v>
      </c>
      <c r="H348" s="4" t="str">
        <f>"43804"</f>
        <v>43804</v>
      </c>
      <c r="I348" s="4" t="s">
        <v>24</v>
      </c>
      <c r="J348" s="4" t="str">
        <f>"(P) 330-897-6904 (M) 330-415-8925"</f>
        <v>(P) 330-897-6904 (M) 330-415-8925</v>
      </c>
      <c r="K348" s="4"/>
      <c r="L348" s="4" t="s">
        <v>71</v>
      </c>
      <c r="M348" s="4" t="s">
        <v>956</v>
      </c>
      <c r="N348" s="4" t="s">
        <v>22</v>
      </c>
      <c r="O348" s="4" t="s">
        <v>23</v>
      </c>
      <c r="P348" s="4" t="str">
        <f>"43804"</f>
        <v>43804</v>
      </c>
      <c r="Q348" s="4" t="s">
        <v>24</v>
      </c>
      <c r="R348" s="6">
        <v>44196</v>
      </c>
      <c r="S348" s="4" t="s">
        <v>35</v>
      </c>
    </row>
    <row r="349" spans="1:19" s="3" customFormat="1" ht="43.2" x14ac:dyDescent="0.3">
      <c r="A349" s="4" t="str">
        <f>"CB001LXR"</f>
        <v>CB001LXR</v>
      </c>
      <c r="B349" s="4"/>
      <c r="C349" s="4" t="s">
        <v>274</v>
      </c>
      <c r="D349" s="4" t="s">
        <v>20</v>
      </c>
      <c r="E349" s="4" t="s">
        <v>1000</v>
      </c>
      <c r="F349" s="4" t="s">
        <v>99</v>
      </c>
      <c r="G349" s="4" t="s">
        <v>23</v>
      </c>
      <c r="H349" s="4" t="str">
        <f>"43824"</f>
        <v>43824</v>
      </c>
      <c r="I349" s="4" t="s">
        <v>134</v>
      </c>
      <c r="J349" s="4" t="str">
        <f>"(M) 330-600-2661"</f>
        <v>(M) 330-600-2661</v>
      </c>
      <c r="K349" s="4"/>
      <c r="L349" s="4" t="s">
        <v>772</v>
      </c>
      <c r="M349" s="4" t="s">
        <v>1000</v>
      </c>
      <c r="N349" s="4" t="s">
        <v>99</v>
      </c>
      <c r="O349" s="4" t="s">
        <v>23</v>
      </c>
      <c r="P349" s="4" t="str">
        <f>"43824"</f>
        <v>43824</v>
      </c>
      <c r="Q349" s="4" t="s">
        <v>134</v>
      </c>
      <c r="R349" s="6">
        <v>44196</v>
      </c>
      <c r="S349" s="4" t="s">
        <v>46</v>
      </c>
    </row>
    <row r="350" spans="1:19" s="3" customFormat="1" ht="43.2" x14ac:dyDescent="0.3">
      <c r="A350" s="4" t="str">
        <f>"CB001Q6S"</f>
        <v>CB001Q6S</v>
      </c>
      <c r="B350" s="4"/>
      <c r="C350" s="4" t="s">
        <v>274</v>
      </c>
      <c r="D350" s="4" t="s">
        <v>38</v>
      </c>
      <c r="E350" s="4" t="s">
        <v>1107</v>
      </c>
      <c r="F350" s="4" t="s">
        <v>1108</v>
      </c>
      <c r="G350" s="4" t="s">
        <v>23</v>
      </c>
      <c r="H350" s="4" t="str">
        <f>"44608"</f>
        <v>44608</v>
      </c>
      <c r="I350" s="4" t="s">
        <v>1109</v>
      </c>
      <c r="J350" s="4" t="str">
        <f>"(P) 330-231-1665"</f>
        <v>(P) 330-231-1665</v>
      </c>
      <c r="K350" s="4" t="s">
        <v>1110</v>
      </c>
      <c r="L350" s="4" t="s">
        <v>226</v>
      </c>
      <c r="M350" s="4" t="s">
        <v>1107</v>
      </c>
      <c r="N350" s="4" t="s">
        <v>1108</v>
      </c>
      <c r="O350" s="4" t="s">
        <v>23</v>
      </c>
      <c r="P350" s="4" t="str">
        <f>"44608"</f>
        <v>44608</v>
      </c>
      <c r="Q350" s="4" t="s">
        <v>1109</v>
      </c>
      <c r="R350" s="6">
        <v>44196</v>
      </c>
      <c r="S350" s="4" t="s">
        <v>46</v>
      </c>
    </row>
    <row r="351" spans="1:19" s="3" customFormat="1" ht="43.2" x14ac:dyDescent="0.3">
      <c r="A351" s="4" t="str">
        <f>"CB0026MT"</f>
        <v>CB0026MT</v>
      </c>
      <c r="B351" s="4"/>
      <c r="C351" s="4" t="s">
        <v>274</v>
      </c>
      <c r="D351" s="4" t="s">
        <v>20</v>
      </c>
      <c r="E351" s="4" t="s">
        <v>1265</v>
      </c>
      <c r="F351" s="4" t="s">
        <v>1266</v>
      </c>
      <c r="G351" s="4" t="s">
        <v>23</v>
      </c>
      <c r="H351" s="4" t="str">
        <f>"43844"</f>
        <v>43844</v>
      </c>
      <c r="I351" s="4" t="s">
        <v>134</v>
      </c>
      <c r="J351" s="4" t="str">
        <f>"(P) 330-600-1239"</f>
        <v>(P) 330-600-1239</v>
      </c>
      <c r="K351" s="4"/>
      <c r="L351" s="4" t="s">
        <v>912</v>
      </c>
      <c r="M351" s="4" t="s">
        <v>1265</v>
      </c>
      <c r="N351" s="4" t="s">
        <v>1266</v>
      </c>
      <c r="O351" s="4" t="s">
        <v>23</v>
      </c>
      <c r="P351" s="4" t="str">
        <f>"43844"</f>
        <v>43844</v>
      </c>
      <c r="Q351" s="4" t="s">
        <v>134</v>
      </c>
      <c r="R351" s="6">
        <v>44196</v>
      </c>
      <c r="S351" s="4" t="s">
        <v>35</v>
      </c>
    </row>
    <row r="352" spans="1:19" s="3" customFormat="1" ht="43.2" x14ac:dyDescent="0.3">
      <c r="A352" s="4" t="str">
        <f>"CB0008PX"</f>
        <v>CB0008PX</v>
      </c>
      <c r="B352" s="4" t="s">
        <v>439</v>
      </c>
      <c r="C352" s="4" t="s">
        <v>440</v>
      </c>
      <c r="D352" s="4" t="s">
        <v>441</v>
      </c>
      <c r="E352" s="4" t="s">
        <v>442</v>
      </c>
      <c r="F352" s="4" t="s">
        <v>443</v>
      </c>
      <c r="G352" s="4" t="s">
        <v>23</v>
      </c>
      <c r="H352" s="4" t="str">
        <f>"43920"</f>
        <v>43920</v>
      </c>
      <c r="I352" s="4" t="s">
        <v>444</v>
      </c>
      <c r="J352" s="4" t="str">
        <f>"(P) 330-386-7377 (M) 330-383-3703"</f>
        <v>(P) 330-386-7377 (M) 330-383-3703</v>
      </c>
      <c r="K352" s="4" t="s">
        <v>445</v>
      </c>
      <c r="L352" s="4" t="s">
        <v>1077</v>
      </c>
      <c r="M352" s="4" t="s">
        <v>442</v>
      </c>
      <c r="N352" s="4" t="s">
        <v>443</v>
      </c>
      <c r="O352" s="4" t="s">
        <v>23</v>
      </c>
      <c r="P352" s="4" t="str">
        <f>"43920"</f>
        <v>43920</v>
      </c>
      <c r="Q352" s="4" t="s">
        <v>444</v>
      </c>
      <c r="R352" s="6">
        <v>44196</v>
      </c>
      <c r="S352" s="4" t="s">
        <v>35</v>
      </c>
    </row>
    <row r="353" spans="1:19" s="3" customFormat="1" ht="43.2" x14ac:dyDescent="0.3">
      <c r="A353" s="4" t="str">
        <f>"CB00034M"</f>
        <v>CB00034M</v>
      </c>
      <c r="B353" s="4" t="s">
        <v>199</v>
      </c>
      <c r="C353" s="4" t="s">
        <v>200</v>
      </c>
      <c r="D353" s="4" t="s">
        <v>132</v>
      </c>
      <c r="E353" s="4" t="s">
        <v>201</v>
      </c>
      <c r="F353" s="4" t="s">
        <v>40</v>
      </c>
      <c r="G353" s="4" t="s">
        <v>23</v>
      </c>
      <c r="H353" s="4" t="str">
        <f>"44654"</f>
        <v>44654</v>
      </c>
      <c r="I353" s="4" t="s">
        <v>24</v>
      </c>
      <c r="J353" s="4" t="str">
        <f>"(P) 330-893-7800"</f>
        <v>(P) 330-893-7800</v>
      </c>
      <c r="K353" s="4"/>
      <c r="L353" s="4" t="s">
        <v>178</v>
      </c>
      <c r="M353" s="4" t="s">
        <v>201</v>
      </c>
      <c r="N353" s="4" t="s">
        <v>40</v>
      </c>
      <c r="O353" s="4" t="s">
        <v>23</v>
      </c>
      <c r="P353" s="4" t="str">
        <f>"44654"</f>
        <v>44654</v>
      </c>
      <c r="Q353" s="4" t="s">
        <v>24</v>
      </c>
      <c r="R353" s="6">
        <v>44196</v>
      </c>
      <c r="S353" s="4" t="s">
        <v>46</v>
      </c>
    </row>
    <row r="354" spans="1:19" s="3" customFormat="1" ht="43.2" x14ac:dyDescent="0.3">
      <c r="A354" s="4" t="str">
        <f>"CB000UU7"</f>
        <v>CB000UU7</v>
      </c>
      <c r="B354" s="4"/>
      <c r="C354" s="4" t="s">
        <v>200</v>
      </c>
      <c r="D354" s="4" t="s">
        <v>20</v>
      </c>
      <c r="E354" s="4" t="s">
        <v>607</v>
      </c>
      <c r="F354" s="4" t="s">
        <v>608</v>
      </c>
      <c r="G354" s="4" t="s">
        <v>23</v>
      </c>
      <c r="H354" s="4" t="str">
        <f>"44633"</f>
        <v>44633</v>
      </c>
      <c r="I354" s="4" t="s">
        <v>24</v>
      </c>
      <c r="J354" s="4" t="str">
        <f>"(P) 330-600-4211 (M) 330-600-2921"</f>
        <v>(P) 330-600-4211 (M) 330-600-2921</v>
      </c>
      <c r="K354" s="4"/>
      <c r="L354" s="4" t="s">
        <v>350</v>
      </c>
      <c r="M354" s="4" t="s">
        <v>607</v>
      </c>
      <c r="N354" s="4" t="s">
        <v>608</v>
      </c>
      <c r="O354" s="4" t="s">
        <v>23</v>
      </c>
      <c r="P354" s="4" t="str">
        <f>"44633"</f>
        <v>44633</v>
      </c>
      <c r="Q354" s="4" t="s">
        <v>24</v>
      </c>
      <c r="R354" s="6">
        <v>44196</v>
      </c>
      <c r="S354" s="4" t="s">
        <v>46</v>
      </c>
    </row>
    <row r="355" spans="1:19" s="3" customFormat="1" ht="43.2" x14ac:dyDescent="0.3">
      <c r="A355" s="4" t="str">
        <f>"CB002996"</f>
        <v>CB002996</v>
      </c>
      <c r="B355" s="4"/>
      <c r="C355" s="4" t="s">
        <v>200</v>
      </c>
      <c r="D355" s="4" t="s">
        <v>43</v>
      </c>
      <c r="E355" s="4" t="s">
        <v>1316</v>
      </c>
      <c r="F355" s="4" t="s">
        <v>1317</v>
      </c>
      <c r="G355" s="4" t="s">
        <v>23</v>
      </c>
      <c r="H355" s="4" t="str">
        <f>"43338"</f>
        <v>43338</v>
      </c>
      <c r="I355" s="4" t="s">
        <v>745</v>
      </c>
      <c r="J355" s="4" t="str">
        <f>"(P) 419-362-1005"</f>
        <v>(P) 419-362-1005</v>
      </c>
      <c r="K355" s="4"/>
      <c r="L355" s="4" t="s">
        <v>75</v>
      </c>
      <c r="M355" s="4" t="s">
        <v>1316</v>
      </c>
      <c r="N355" s="4" t="s">
        <v>1317</v>
      </c>
      <c r="O355" s="4" t="s">
        <v>23</v>
      </c>
      <c r="P355" s="4" t="str">
        <f>"43338"</f>
        <v>43338</v>
      </c>
      <c r="Q355" s="4" t="s">
        <v>745</v>
      </c>
      <c r="R355" s="6">
        <v>44196</v>
      </c>
      <c r="S355" s="4" t="s">
        <v>35</v>
      </c>
    </row>
    <row r="356" spans="1:19" s="3" customFormat="1" ht="43.2" x14ac:dyDescent="0.3">
      <c r="A356" s="4" t="str">
        <f>"CB002CRW"</f>
        <v>CB002CRW</v>
      </c>
      <c r="B356" s="4"/>
      <c r="C356" s="4" t="s">
        <v>200</v>
      </c>
      <c r="D356" s="4" t="s">
        <v>20</v>
      </c>
      <c r="E356" s="4" t="s">
        <v>1418</v>
      </c>
      <c r="F356" s="4" t="s">
        <v>22</v>
      </c>
      <c r="G356" s="4" t="s">
        <v>23</v>
      </c>
      <c r="H356" s="4" t="str">
        <f>"43804"</f>
        <v>43804</v>
      </c>
      <c r="I356" s="4" t="s">
        <v>24</v>
      </c>
      <c r="J356" s="4" t="str">
        <f>"(P) 330-897-0516"</f>
        <v>(P) 330-897-0516</v>
      </c>
      <c r="K356" s="4"/>
      <c r="L356" s="4" t="s">
        <v>820</v>
      </c>
      <c r="M356" s="4" t="s">
        <v>1418</v>
      </c>
      <c r="N356" s="4" t="s">
        <v>22</v>
      </c>
      <c r="O356" s="4" t="s">
        <v>23</v>
      </c>
      <c r="P356" s="4" t="str">
        <f>"43804"</f>
        <v>43804</v>
      </c>
      <c r="Q356" s="4" t="s">
        <v>24</v>
      </c>
      <c r="R356" s="6">
        <v>44196</v>
      </c>
      <c r="S356" s="4" t="s">
        <v>76</v>
      </c>
    </row>
    <row r="357" spans="1:19" s="3" customFormat="1" ht="43.2" x14ac:dyDescent="0.3">
      <c r="A357" s="4" t="str">
        <f>"CB002DPW"</f>
        <v>CB002DPW</v>
      </c>
      <c r="B357" s="4" t="s">
        <v>1442</v>
      </c>
      <c r="C357" s="4" t="s">
        <v>200</v>
      </c>
      <c r="D357" s="4" t="s">
        <v>847</v>
      </c>
      <c r="E357" s="4" t="s">
        <v>1443</v>
      </c>
      <c r="F357" s="4" t="s">
        <v>111</v>
      </c>
      <c r="G357" s="4" t="s">
        <v>23</v>
      </c>
      <c r="H357" s="4" t="str">
        <f>"44627"</f>
        <v>44627</v>
      </c>
      <c r="I357" s="4" t="s">
        <v>24</v>
      </c>
      <c r="J357" s="4" t="str">
        <f>"(F) 330-674-2462 (M) 330-674-0773"</f>
        <v>(F) 330-674-2462 (M) 330-674-0773</v>
      </c>
      <c r="K357" s="4"/>
      <c r="L357" s="4" t="s">
        <v>587</v>
      </c>
      <c r="M357" s="4" t="s">
        <v>1443</v>
      </c>
      <c r="N357" s="4" t="s">
        <v>111</v>
      </c>
      <c r="O357" s="4" t="s">
        <v>23</v>
      </c>
      <c r="P357" s="4" t="str">
        <f>"44627"</f>
        <v>44627</v>
      </c>
      <c r="Q357" s="4" t="s">
        <v>24</v>
      </c>
      <c r="R357" s="6">
        <v>44196</v>
      </c>
      <c r="S357" s="4" t="s">
        <v>46</v>
      </c>
    </row>
    <row r="358" spans="1:19" s="3" customFormat="1" ht="43.2" x14ac:dyDescent="0.3">
      <c r="A358" s="4" t="str">
        <f>"CB001S9C"</f>
        <v>CB001S9C</v>
      </c>
      <c r="B358" s="4"/>
      <c r="C358" s="4" t="s">
        <v>1148</v>
      </c>
      <c r="D358" s="4" t="s">
        <v>132</v>
      </c>
      <c r="E358" s="4" t="s">
        <v>1149</v>
      </c>
      <c r="F358" s="4" t="s">
        <v>40</v>
      </c>
      <c r="G358" s="4" t="s">
        <v>23</v>
      </c>
      <c r="H358" s="4" t="str">
        <f>"44654"</f>
        <v>44654</v>
      </c>
      <c r="I358" s="4" t="s">
        <v>24</v>
      </c>
      <c r="J358" s="4" t="str">
        <f>"(P) 330-466-3163"</f>
        <v>(P) 330-466-3163</v>
      </c>
      <c r="K358" s="4"/>
      <c r="L358" s="4" t="s">
        <v>982</v>
      </c>
      <c r="M358" s="4" t="s">
        <v>1149</v>
      </c>
      <c r="N358" s="4" t="s">
        <v>40</v>
      </c>
      <c r="O358" s="4" t="s">
        <v>23</v>
      </c>
      <c r="P358" s="4" t="str">
        <f>"44654"</f>
        <v>44654</v>
      </c>
      <c r="Q358" s="4" t="s">
        <v>24</v>
      </c>
      <c r="R358" s="6">
        <v>44196</v>
      </c>
      <c r="S358" s="4" t="s">
        <v>46</v>
      </c>
    </row>
    <row r="359" spans="1:19" s="3" customFormat="1" ht="43.2" x14ac:dyDescent="0.3">
      <c r="A359" s="4" t="str">
        <f>"CB0002Z2"</f>
        <v>CB0002Z2</v>
      </c>
      <c r="B359" s="4" t="s">
        <v>189</v>
      </c>
      <c r="C359" s="4" t="s">
        <v>190</v>
      </c>
      <c r="D359" s="4" t="s">
        <v>59</v>
      </c>
      <c r="E359" s="4" t="s">
        <v>191</v>
      </c>
      <c r="F359" s="4" t="s">
        <v>22</v>
      </c>
      <c r="G359" s="4" t="s">
        <v>23</v>
      </c>
      <c r="H359" s="4" t="str">
        <f>"43804"</f>
        <v>43804</v>
      </c>
      <c r="I359" s="4" t="s">
        <v>24</v>
      </c>
      <c r="J359" s="4" t="str">
        <f>"(P) 330-893-9101 (F) 814-405-8219"</f>
        <v>(P) 330-893-9101 (F) 814-405-8219</v>
      </c>
      <c r="K359" s="4"/>
      <c r="L359" s="4" t="s">
        <v>1222</v>
      </c>
      <c r="M359" s="4" t="s">
        <v>191</v>
      </c>
      <c r="N359" s="4" t="s">
        <v>22</v>
      </c>
      <c r="O359" s="4" t="s">
        <v>23</v>
      </c>
      <c r="P359" s="4" t="str">
        <f>"43804"</f>
        <v>43804</v>
      </c>
      <c r="Q359" s="4" t="s">
        <v>24</v>
      </c>
      <c r="R359" s="6">
        <v>44196</v>
      </c>
      <c r="S359" s="4" t="s">
        <v>76</v>
      </c>
    </row>
    <row r="360" spans="1:19" s="3" customFormat="1" ht="43.2" x14ac:dyDescent="0.3">
      <c r="A360" s="4" t="str">
        <f>"CB001P8S"</f>
        <v>CB001P8S</v>
      </c>
      <c r="B360" s="4"/>
      <c r="C360" s="4" t="s">
        <v>190</v>
      </c>
      <c r="D360" s="4" t="s">
        <v>93</v>
      </c>
      <c r="E360" s="4" t="s">
        <v>1073</v>
      </c>
      <c r="F360" s="4" t="s">
        <v>40</v>
      </c>
      <c r="G360" s="4" t="s">
        <v>23</v>
      </c>
      <c r="H360" s="4" t="str">
        <f>"44654"</f>
        <v>44654</v>
      </c>
      <c r="I360" s="4" t="s">
        <v>24</v>
      </c>
      <c r="J360" s="4" t="str">
        <f>"(P) 330-893-0814"</f>
        <v>(P) 330-893-0814</v>
      </c>
      <c r="K360" s="4"/>
      <c r="L360" s="4" t="s">
        <v>1375</v>
      </c>
      <c r="M360" s="4" t="s">
        <v>1073</v>
      </c>
      <c r="N360" s="4" t="s">
        <v>40</v>
      </c>
      <c r="O360" s="4" t="s">
        <v>23</v>
      </c>
      <c r="P360" s="4" t="str">
        <f>"44654"</f>
        <v>44654</v>
      </c>
      <c r="Q360" s="4" t="s">
        <v>24</v>
      </c>
      <c r="R360" s="6">
        <v>44196</v>
      </c>
      <c r="S360" s="4" t="s">
        <v>35</v>
      </c>
    </row>
    <row r="361" spans="1:19" s="3" customFormat="1" ht="43.2" x14ac:dyDescent="0.3">
      <c r="A361" s="4" t="str">
        <f>"CB000N4B"</f>
        <v>CB000N4B</v>
      </c>
      <c r="B361" s="4" t="s">
        <v>472</v>
      </c>
      <c r="C361" s="4" t="s">
        <v>473</v>
      </c>
      <c r="D361" s="4" t="s">
        <v>20</v>
      </c>
      <c r="E361" s="4" t="s">
        <v>474</v>
      </c>
      <c r="F361" s="4" t="s">
        <v>74</v>
      </c>
      <c r="G361" s="4" t="s">
        <v>23</v>
      </c>
      <c r="H361" s="4" t="str">
        <f>"44681"</f>
        <v>44681</v>
      </c>
      <c r="I361" s="4" t="s">
        <v>24</v>
      </c>
      <c r="J361" s="4" t="str">
        <f>"(P) 330-440-2922"</f>
        <v>(P) 330-440-2922</v>
      </c>
      <c r="K361" s="4" t="s">
        <v>475</v>
      </c>
      <c r="L361" s="4" t="s">
        <v>386</v>
      </c>
      <c r="M361" s="4" t="s">
        <v>474</v>
      </c>
      <c r="N361" s="4" t="s">
        <v>74</v>
      </c>
      <c r="O361" s="4" t="s">
        <v>23</v>
      </c>
      <c r="P361" s="4" t="str">
        <f>"44681"</f>
        <v>44681</v>
      </c>
      <c r="Q361" s="4" t="s">
        <v>24</v>
      </c>
      <c r="R361" s="6">
        <v>44196</v>
      </c>
      <c r="S361" s="4" t="s">
        <v>46</v>
      </c>
    </row>
    <row r="362" spans="1:19" s="3" customFormat="1" ht="43.2" x14ac:dyDescent="0.3">
      <c r="A362" s="4" t="str">
        <f>"CB001VHH"</f>
        <v>CB001VHH</v>
      </c>
      <c r="B362" s="4" t="s">
        <v>1201</v>
      </c>
      <c r="C362" s="4" t="s">
        <v>1202</v>
      </c>
      <c r="D362" s="4" t="s">
        <v>20</v>
      </c>
      <c r="E362" s="4" t="s">
        <v>1203</v>
      </c>
      <c r="F362" s="4" t="s">
        <v>65</v>
      </c>
      <c r="G362" s="4" t="s">
        <v>23</v>
      </c>
      <c r="H362" s="4" t="str">
        <f>"44624"</f>
        <v>44624</v>
      </c>
      <c r="I362" s="4" t="s">
        <v>52</v>
      </c>
      <c r="J362" s="4" t="str">
        <f>"(M) 330-473-0660"</f>
        <v>(M) 330-473-0660</v>
      </c>
      <c r="K362" s="4"/>
      <c r="L362" s="4" t="s">
        <v>1024</v>
      </c>
      <c r="M362" s="4" t="s">
        <v>1203</v>
      </c>
      <c r="N362" s="4" t="s">
        <v>65</v>
      </c>
      <c r="O362" s="4" t="s">
        <v>23</v>
      </c>
      <c r="P362" s="4" t="str">
        <f>"44624"</f>
        <v>44624</v>
      </c>
      <c r="Q362" s="4" t="s">
        <v>52</v>
      </c>
      <c r="R362" s="6">
        <v>44196</v>
      </c>
      <c r="S362" s="4" t="s">
        <v>35</v>
      </c>
    </row>
    <row r="363" spans="1:19" s="3" customFormat="1" ht="43.2" x14ac:dyDescent="0.3">
      <c r="A363" s="4" t="str">
        <f>"CB00101X"</f>
        <v>CB00101X</v>
      </c>
      <c r="B363" s="4"/>
      <c r="C363" s="4" t="s">
        <v>648</v>
      </c>
      <c r="D363" s="4" t="s">
        <v>38</v>
      </c>
      <c r="E363" s="4" t="s">
        <v>649</v>
      </c>
      <c r="F363" s="4" t="s">
        <v>99</v>
      </c>
      <c r="G363" s="4" t="s">
        <v>23</v>
      </c>
      <c r="H363" s="4" t="str">
        <f>"43824"</f>
        <v>43824</v>
      </c>
      <c r="I363" s="4" t="s">
        <v>134</v>
      </c>
      <c r="J363" s="4" t="str">
        <f>"(M) 330-897-4304"</f>
        <v>(M) 330-897-4304</v>
      </c>
      <c r="K363" s="4"/>
      <c r="L363" s="4" t="s">
        <v>1394</v>
      </c>
      <c r="M363" s="4" t="s">
        <v>649</v>
      </c>
      <c r="N363" s="4" t="s">
        <v>99</v>
      </c>
      <c r="O363" s="4" t="s">
        <v>23</v>
      </c>
      <c r="P363" s="4" t="str">
        <f>"43824"</f>
        <v>43824</v>
      </c>
      <c r="Q363" s="4" t="s">
        <v>134</v>
      </c>
      <c r="R363" s="6">
        <v>44196</v>
      </c>
      <c r="S363" s="4" t="s">
        <v>35</v>
      </c>
    </row>
    <row r="364" spans="1:19" s="3" customFormat="1" ht="43.2" x14ac:dyDescent="0.3">
      <c r="A364" s="4" t="str">
        <f>"CB0007YH"</f>
        <v>CB0007YH</v>
      </c>
      <c r="B364" s="4"/>
      <c r="C364" s="4" t="s">
        <v>422</v>
      </c>
      <c r="D364" s="4" t="s">
        <v>128</v>
      </c>
      <c r="E364" s="4" t="s">
        <v>423</v>
      </c>
      <c r="F364" s="4" t="s">
        <v>40</v>
      </c>
      <c r="G364" s="4" t="s">
        <v>23</v>
      </c>
      <c r="H364" s="4" t="str">
        <f>"44654"</f>
        <v>44654</v>
      </c>
      <c r="I364" s="4" t="s">
        <v>24</v>
      </c>
      <c r="J364" s="4" t="str">
        <f>"(P) 330-600-1411"</f>
        <v>(P) 330-600-1411</v>
      </c>
      <c r="K364" s="4"/>
      <c r="L364" s="4" t="s">
        <v>1130</v>
      </c>
      <c r="M364" s="4" t="s">
        <v>423</v>
      </c>
      <c r="N364" s="4" t="s">
        <v>40</v>
      </c>
      <c r="O364" s="4" t="s">
        <v>23</v>
      </c>
      <c r="P364" s="4" t="str">
        <f>"44654"</f>
        <v>44654</v>
      </c>
      <c r="Q364" s="4" t="s">
        <v>24</v>
      </c>
      <c r="R364" s="6">
        <v>44196</v>
      </c>
      <c r="S364" s="4" t="s">
        <v>26</v>
      </c>
    </row>
    <row r="365" spans="1:19" s="3" customFormat="1" ht="43.2" x14ac:dyDescent="0.3">
      <c r="A365" s="4" t="str">
        <f>"CB0008L4"</f>
        <v>CB0008L4</v>
      </c>
      <c r="B365" s="4" t="s">
        <v>436</v>
      </c>
      <c r="C365" s="4" t="s">
        <v>422</v>
      </c>
      <c r="D365" s="4" t="s">
        <v>43</v>
      </c>
      <c r="E365" s="4" t="s">
        <v>437</v>
      </c>
      <c r="F365" s="4" t="s">
        <v>22</v>
      </c>
      <c r="G365" s="4" t="s">
        <v>23</v>
      </c>
      <c r="H365" s="4" t="str">
        <f>"43804"</f>
        <v>43804</v>
      </c>
      <c r="I365" s="4" t="s">
        <v>66</v>
      </c>
      <c r="J365" s="4" t="str">
        <f>"(M) 330-897-0354"</f>
        <v>(M) 330-897-0354</v>
      </c>
      <c r="K365" s="4"/>
      <c r="L365" s="4" t="s">
        <v>1367</v>
      </c>
      <c r="M365" s="4" t="s">
        <v>437</v>
      </c>
      <c r="N365" s="4" t="s">
        <v>22</v>
      </c>
      <c r="O365" s="4" t="s">
        <v>23</v>
      </c>
      <c r="P365" s="4" t="str">
        <f>"43804"</f>
        <v>43804</v>
      </c>
      <c r="Q365" s="4" t="s">
        <v>66</v>
      </c>
      <c r="R365" s="6">
        <v>44196</v>
      </c>
      <c r="S365" s="4" t="s">
        <v>35</v>
      </c>
    </row>
    <row r="366" spans="1:19" s="3" customFormat="1" ht="43.2" x14ac:dyDescent="0.3">
      <c r="A366" s="4" t="str">
        <f>"CB0018RK"</f>
        <v>CB0018RK</v>
      </c>
      <c r="B366" s="4" t="s">
        <v>792</v>
      </c>
      <c r="C366" s="4" t="s">
        <v>422</v>
      </c>
      <c r="D366" s="4" t="s">
        <v>793</v>
      </c>
      <c r="E366" s="4" t="s">
        <v>794</v>
      </c>
      <c r="F366" s="4" t="s">
        <v>795</v>
      </c>
      <c r="G366" s="4" t="s">
        <v>23</v>
      </c>
      <c r="H366" s="4" t="str">
        <f>"43019"</f>
        <v>43019</v>
      </c>
      <c r="I366" s="4" t="s">
        <v>505</v>
      </c>
      <c r="J366" s="4" t="str">
        <f>"(P) 440-293-4920"</f>
        <v>(P) 440-293-4920</v>
      </c>
      <c r="K366" s="4"/>
      <c r="L366" s="4" t="s">
        <v>126</v>
      </c>
      <c r="M366" s="4" t="s">
        <v>797</v>
      </c>
      <c r="N366" s="4" t="s">
        <v>795</v>
      </c>
      <c r="O366" s="4" t="s">
        <v>23</v>
      </c>
      <c r="P366" s="4" t="str">
        <f>"43019"</f>
        <v>43019</v>
      </c>
      <c r="Q366" s="4" t="s">
        <v>505</v>
      </c>
      <c r="R366" s="6">
        <v>44196</v>
      </c>
      <c r="S366" s="4" t="s">
        <v>26</v>
      </c>
    </row>
    <row r="367" spans="1:19" s="3" customFormat="1" ht="43.2" x14ac:dyDescent="0.3">
      <c r="A367" s="4" t="str">
        <f>"CB001D0G"</f>
        <v>CB001D0G</v>
      </c>
      <c r="B367" s="4"/>
      <c r="C367" s="4" t="s">
        <v>857</v>
      </c>
      <c r="D367" s="4" t="s">
        <v>831</v>
      </c>
      <c r="E367" s="4" t="s">
        <v>858</v>
      </c>
      <c r="F367" s="4" t="s">
        <v>617</v>
      </c>
      <c r="G367" s="4" t="s">
        <v>23</v>
      </c>
      <c r="H367" s="4" t="str">
        <f>"45660"</f>
        <v>45660</v>
      </c>
      <c r="I367" s="4" t="s">
        <v>604</v>
      </c>
      <c r="J367" s="4" t="str">
        <f>"(P) 330-386-3368"</f>
        <v>(P) 330-386-3368</v>
      </c>
      <c r="K367" s="4"/>
      <c r="L367" s="4" t="s">
        <v>209</v>
      </c>
      <c r="M367" s="4" t="s">
        <v>858</v>
      </c>
      <c r="N367" s="4" t="s">
        <v>617</v>
      </c>
      <c r="O367" s="4" t="s">
        <v>23</v>
      </c>
      <c r="P367" s="4" t="str">
        <f>"45660"</f>
        <v>45660</v>
      </c>
      <c r="Q367" s="4" t="s">
        <v>604</v>
      </c>
      <c r="R367" s="6">
        <v>44196</v>
      </c>
      <c r="S367" s="4" t="s">
        <v>46</v>
      </c>
    </row>
    <row r="368" spans="1:19" s="3" customFormat="1" ht="43.2" x14ac:dyDescent="0.3">
      <c r="A368" s="4" t="str">
        <f>"CB000569"</f>
        <v>CB000569</v>
      </c>
      <c r="B368" s="4" t="s">
        <v>307</v>
      </c>
      <c r="C368" s="4" t="s">
        <v>308</v>
      </c>
      <c r="D368" s="4" t="s">
        <v>309</v>
      </c>
      <c r="E368" s="4" t="s">
        <v>310</v>
      </c>
      <c r="F368" s="4" t="s">
        <v>239</v>
      </c>
      <c r="G368" s="4" t="s">
        <v>23</v>
      </c>
      <c r="H368" s="4" t="str">
        <f>"43567"</f>
        <v>43567</v>
      </c>
      <c r="I368" s="4" t="s">
        <v>32</v>
      </c>
      <c r="J368" s="4" t="str">
        <f>"(P) 419-446-2619 (M) 419-260-3161"</f>
        <v>(P) 419-446-2619 (M) 419-260-3161</v>
      </c>
      <c r="K368" s="4" t="s">
        <v>311</v>
      </c>
      <c r="L368" s="4" t="s">
        <v>700</v>
      </c>
      <c r="M368" s="4" t="s">
        <v>310</v>
      </c>
      <c r="N368" s="4" t="s">
        <v>239</v>
      </c>
      <c r="O368" s="4" t="s">
        <v>23</v>
      </c>
      <c r="P368" s="4" t="str">
        <f>"43567"</f>
        <v>43567</v>
      </c>
      <c r="Q368" s="4" t="s">
        <v>32</v>
      </c>
      <c r="R368" s="6">
        <v>44196</v>
      </c>
      <c r="S368" s="4" t="s">
        <v>76</v>
      </c>
    </row>
    <row r="369" spans="1:19" s="3" customFormat="1" ht="43.2" x14ac:dyDescent="0.3">
      <c r="A369" s="4" t="str">
        <f>"CB000NBY"</f>
        <v>CB000NBY</v>
      </c>
      <c r="B369" s="4"/>
      <c r="C369" s="4" t="s">
        <v>308</v>
      </c>
      <c r="D369" s="4" t="s">
        <v>49</v>
      </c>
      <c r="E369" s="4" t="s">
        <v>492</v>
      </c>
      <c r="F369" s="4" t="s">
        <v>40</v>
      </c>
      <c r="G369" s="4" t="s">
        <v>23</v>
      </c>
      <c r="H369" s="4" t="str">
        <f>"44654"</f>
        <v>44654</v>
      </c>
      <c r="I369" s="4" t="s">
        <v>24</v>
      </c>
      <c r="J369" s="4" t="str">
        <f>"(P) 330-600-8899"</f>
        <v>(P) 330-600-8899</v>
      </c>
      <c r="K369" s="4"/>
      <c r="L369" s="4" t="s">
        <v>421</v>
      </c>
      <c r="M369" s="4" t="s">
        <v>494</v>
      </c>
      <c r="N369" s="4" t="s">
        <v>40</v>
      </c>
      <c r="O369" s="4" t="s">
        <v>23</v>
      </c>
      <c r="P369" s="4" t="str">
        <f>"44654"</f>
        <v>44654</v>
      </c>
      <c r="Q369" s="4" t="s">
        <v>24</v>
      </c>
      <c r="R369" s="6">
        <v>44196</v>
      </c>
      <c r="S369" s="4" t="s">
        <v>76</v>
      </c>
    </row>
    <row r="370" spans="1:19" s="3" customFormat="1" ht="57.6" x14ac:dyDescent="0.3">
      <c r="A370" s="4" t="str">
        <f>"CB0016QV"</f>
        <v>CB0016QV</v>
      </c>
      <c r="B370" s="4" t="s">
        <v>747</v>
      </c>
      <c r="C370" s="4" t="s">
        <v>308</v>
      </c>
      <c r="D370" s="4" t="s">
        <v>748</v>
      </c>
      <c r="E370" s="4" t="s">
        <v>749</v>
      </c>
      <c r="F370" s="4" t="s">
        <v>87</v>
      </c>
      <c r="G370" s="4" t="s">
        <v>23</v>
      </c>
      <c r="H370" s="4" t="str">
        <f>"44878"</f>
        <v>44878</v>
      </c>
      <c r="I370" s="4" t="s">
        <v>88</v>
      </c>
      <c r="J370" s="4" t="str">
        <f>"(P) 419-524-0068 (F) 419-524-0068 (M) 419-571-1146"</f>
        <v>(P) 419-524-0068 (F) 419-524-0068 (M) 419-571-1146</v>
      </c>
      <c r="K370" s="4"/>
      <c r="L370" s="4" t="s">
        <v>123</v>
      </c>
      <c r="M370" s="4" t="s">
        <v>749</v>
      </c>
      <c r="N370" s="4" t="s">
        <v>87</v>
      </c>
      <c r="O370" s="4" t="s">
        <v>23</v>
      </c>
      <c r="P370" s="4" t="str">
        <f>"44878"</f>
        <v>44878</v>
      </c>
      <c r="Q370" s="4" t="s">
        <v>88</v>
      </c>
      <c r="R370" s="6">
        <v>44196</v>
      </c>
      <c r="S370" s="4" t="s">
        <v>76</v>
      </c>
    </row>
    <row r="371" spans="1:19" s="3" customFormat="1" ht="43.2" x14ac:dyDescent="0.3">
      <c r="A371" s="4" t="str">
        <f>"CB001B88"</f>
        <v>CB001B88</v>
      </c>
      <c r="B371" s="4" t="s">
        <v>841</v>
      </c>
      <c r="C371" s="4" t="s">
        <v>842</v>
      </c>
      <c r="D371" s="4" t="s">
        <v>843</v>
      </c>
      <c r="E371" s="4" t="s">
        <v>844</v>
      </c>
      <c r="F371" s="4" t="s">
        <v>65</v>
      </c>
      <c r="G371" s="4" t="s">
        <v>23</v>
      </c>
      <c r="H371" s="4" t="str">
        <f>"44624"</f>
        <v>44624</v>
      </c>
      <c r="I371" s="4" t="s">
        <v>24</v>
      </c>
      <c r="J371" s="4" t="str">
        <f>"(P) 330-359-0672 (F) 330-432-8928"</f>
        <v>(P) 330-359-0672 (F) 330-432-8928</v>
      </c>
      <c r="K371" s="4"/>
      <c r="L371" s="4" t="s">
        <v>101</v>
      </c>
      <c r="M371" s="4" t="s">
        <v>844</v>
      </c>
      <c r="N371" s="4" t="s">
        <v>65</v>
      </c>
      <c r="O371" s="4" t="s">
        <v>23</v>
      </c>
      <c r="P371" s="4" t="str">
        <f>"44624"</f>
        <v>44624</v>
      </c>
      <c r="Q371" s="4" t="s">
        <v>24</v>
      </c>
      <c r="R371" s="6">
        <v>44196</v>
      </c>
      <c r="S371" s="4" t="s">
        <v>46</v>
      </c>
    </row>
    <row r="372" spans="1:19" s="3" customFormat="1" ht="43.2" x14ac:dyDescent="0.3">
      <c r="A372" s="4" t="str">
        <f>"CB0005Q8"</f>
        <v>CB0005Q8</v>
      </c>
      <c r="B372" s="4" t="s">
        <v>332</v>
      </c>
      <c r="C372" s="4" t="s">
        <v>333</v>
      </c>
      <c r="D372" s="4" t="s">
        <v>334</v>
      </c>
      <c r="E372" s="4" t="s">
        <v>335</v>
      </c>
      <c r="F372" s="4" t="s">
        <v>336</v>
      </c>
      <c r="G372" s="4" t="s">
        <v>23</v>
      </c>
      <c r="H372" s="4" t="str">
        <f>"43558"</f>
        <v>43558</v>
      </c>
      <c r="I372" s="4" t="s">
        <v>32</v>
      </c>
      <c r="J372" s="4" t="str">
        <f>"(P) 419-826-4770 (M) 419-309-6638"</f>
        <v>(P) 419-826-4770 (M) 419-309-6638</v>
      </c>
      <c r="K372" s="4" t="s">
        <v>337</v>
      </c>
      <c r="L372" s="4" t="s">
        <v>171</v>
      </c>
      <c r="M372" s="4" t="s">
        <v>335</v>
      </c>
      <c r="N372" s="4" t="s">
        <v>336</v>
      </c>
      <c r="O372" s="4" t="s">
        <v>23</v>
      </c>
      <c r="P372" s="4" t="str">
        <f>"43558"</f>
        <v>43558</v>
      </c>
      <c r="Q372" s="4" t="s">
        <v>32</v>
      </c>
      <c r="R372" s="6">
        <v>44196</v>
      </c>
      <c r="S372" s="4" t="s">
        <v>46</v>
      </c>
    </row>
    <row r="373" spans="1:19" s="3" customFormat="1" ht="43.2" x14ac:dyDescent="0.3">
      <c r="A373" s="4" t="str">
        <f>"CB001TV1"</f>
        <v>CB001TV1</v>
      </c>
      <c r="B373" s="4"/>
      <c r="C373" s="4" t="s">
        <v>1171</v>
      </c>
      <c r="D373" s="4" t="s">
        <v>55</v>
      </c>
      <c r="E373" s="4" t="s">
        <v>1172</v>
      </c>
      <c r="F373" s="4" t="s">
        <v>603</v>
      </c>
      <c r="G373" s="4" t="s">
        <v>23</v>
      </c>
      <c r="H373" s="4" t="str">
        <f>"45693"</f>
        <v>45693</v>
      </c>
      <c r="I373" s="4" t="s">
        <v>604</v>
      </c>
      <c r="J373" s="4" t="str">
        <f>"(P) 937-544-1669"</f>
        <v>(P) 937-544-1669</v>
      </c>
      <c r="K373" s="4"/>
      <c r="L373" s="4" t="s">
        <v>168</v>
      </c>
      <c r="M373" s="4" t="s">
        <v>1172</v>
      </c>
      <c r="N373" s="4" t="s">
        <v>603</v>
      </c>
      <c r="O373" s="4" t="s">
        <v>23</v>
      </c>
      <c r="P373" s="4" t="str">
        <f>"45693"</f>
        <v>45693</v>
      </c>
      <c r="Q373" s="4" t="s">
        <v>604</v>
      </c>
      <c r="R373" s="6">
        <v>44196</v>
      </c>
      <c r="S373" s="4" t="s">
        <v>46</v>
      </c>
    </row>
    <row r="374" spans="1:19" s="3" customFormat="1" ht="43.2" x14ac:dyDescent="0.3">
      <c r="A374" s="4" t="str">
        <f>"CB0004PE"</f>
        <v>CB0004PE</v>
      </c>
      <c r="B374" s="4"/>
      <c r="C374" s="4" t="s">
        <v>264</v>
      </c>
      <c r="D374" s="4" t="s">
        <v>59</v>
      </c>
      <c r="E374" s="4" t="s">
        <v>265</v>
      </c>
      <c r="F374" s="4" t="s">
        <v>22</v>
      </c>
      <c r="G374" s="4" t="s">
        <v>23</v>
      </c>
      <c r="H374" s="4" t="str">
        <f>"43804"</f>
        <v>43804</v>
      </c>
      <c r="I374" s="4" t="s">
        <v>24</v>
      </c>
      <c r="J374" s="4" t="str">
        <f>"(P) 330-893-1016"</f>
        <v>(P) 330-893-1016</v>
      </c>
      <c r="K374" s="4"/>
      <c r="L374" s="4" t="s">
        <v>1434</v>
      </c>
      <c r="M374" s="4" t="s">
        <v>265</v>
      </c>
      <c r="N374" s="4" t="s">
        <v>22</v>
      </c>
      <c r="O374" s="4" t="s">
        <v>23</v>
      </c>
      <c r="P374" s="4" t="str">
        <f>"43804"</f>
        <v>43804</v>
      </c>
      <c r="Q374" s="4" t="s">
        <v>24</v>
      </c>
      <c r="R374" s="6">
        <v>44196</v>
      </c>
      <c r="S374" s="4" t="s">
        <v>46</v>
      </c>
    </row>
    <row r="375" spans="1:19" s="3" customFormat="1" ht="43.2" x14ac:dyDescent="0.3">
      <c r="A375" s="4" t="str">
        <f>"CB000UKR"</f>
        <v>CB000UKR</v>
      </c>
      <c r="B375" s="4"/>
      <c r="C375" s="4" t="s">
        <v>596</v>
      </c>
      <c r="D375" s="4" t="s">
        <v>93</v>
      </c>
      <c r="E375" s="4" t="s">
        <v>597</v>
      </c>
      <c r="F375" s="4" t="s">
        <v>40</v>
      </c>
      <c r="G375" s="4" t="s">
        <v>23</v>
      </c>
      <c r="H375" s="4" t="str">
        <f>"44654"</f>
        <v>44654</v>
      </c>
      <c r="I375" s="4" t="s">
        <v>24</v>
      </c>
      <c r="J375" s="4" t="str">
        <f>"(P) 330-893-2161"</f>
        <v>(P) 330-893-2161</v>
      </c>
      <c r="K375" s="4"/>
      <c r="L375" s="4" t="s">
        <v>562</v>
      </c>
      <c r="M375" s="4" t="s">
        <v>597</v>
      </c>
      <c r="N375" s="4" t="s">
        <v>40</v>
      </c>
      <c r="O375" s="4" t="s">
        <v>23</v>
      </c>
      <c r="P375" s="4" t="str">
        <f>"44654"</f>
        <v>44654</v>
      </c>
      <c r="Q375" s="4" t="s">
        <v>24</v>
      </c>
      <c r="R375" s="6">
        <v>44196</v>
      </c>
      <c r="S375" s="4" t="s">
        <v>76</v>
      </c>
    </row>
    <row r="376" spans="1:19" s="3" customFormat="1" ht="43.2" x14ac:dyDescent="0.3">
      <c r="A376" s="4" t="str">
        <f>"CB0010LU"</f>
        <v>CB0010LU</v>
      </c>
      <c r="B376" s="4" t="s">
        <v>656</v>
      </c>
      <c r="C376" s="4" t="s">
        <v>596</v>
      </c>
      <c r="D376" s="4" t="s">
        <v>93</v>
      </c>
      <c r="E376" s="4" t="s">
        <v>657</v>
      </c>
      <c r="F376" s="4" t="s">
        <v>22</v>
      </c>
      <c r="G376" s="4" t="s">
        <v>23</v>
      </c>
      <c r="H376" s="4" t="str">
        <f>"43804-9077"</f>
        <v>43804-9077</v>
      </c>
      <c r="I376" s="4" t="s">
        <v>66</v>
      </c>
      <c r="J376" s="4" t="str">
        <f>"(P) 330-897-0126 (M) 330-275-6941"</f>
        <v>(P) 330-897-0126 (M) 330-275-6941</v>
      </c>
      <c r="K376" s="4"/>
      <c r="L376" s="4" t="s">
        <v>639</v>
      </c>
      <c r="M376" s="4" t="s">
        <v>657</v>
      </c>
      <c r="N376" s="4" t="s">
        <v>22</v>
      </c>
      <c r="O376" s="4" t="s">
        <v>23</v>
      </c>
      <c r="P376" s="4" t="str">
        <f>"43804"</f>
        <v>43804</v>
      </c>
      <c r="Q376" s="4" t="s">
        <v>66</v>
      </c>
      <c r="R376" s="6">
        <v>44196</v>
      </c>
      <c r="S376" s="4" t="s">
        <v>76</v>
      </c>
    </row>
    <row r="377" spans="1:19" s="3" customFormat="1" ht="43.2" x14ac:dyDescent="0.3">
      <c r="A377" s="4" t="str">
        <f>"CB001NZD"</f>
        <v>CB001NZD</v>
      </c>
      <c r="B377" s="4"/>
      <c r="C377" s="4" t="s">
        <v>596</v>
      </c>
      <c r="D377" s="4" t="s">
        <v>43</v>
      </c>
      <c r="E377" s="4" t="s">
        <v>1058</v>
      </c>
      <c r="F377" s="4" t="s">
        <v>40</v>
      </c>
      <c r="G377" s="4" t="s">
        <v>23</v>
      </c>
      <c r="H377" s="4" t="str">
        <f>"44654"</f>
        <v>44654</v>
      </c>
      <c r="I377" s="4" t="s">
        <v>24</v>
      </c>
      <c r="J377" s="4" t="str">
        <f>"(P) 330-763-1825"</f>
        <v>(P) 330-763-1825</v>
      </c>
      <c r="K377" s="4"/>
      <c r="L377" s="4" t="s">
        <v>614</v>
      </c>
      <c r="M377" s="4" t="s">
        <v>1058</v>
      </c>
      <c r="N377" s="4" t="s">
        <v>40</v>
      </c>
      <c r="O377" s="4" t="s">
        <v>23</v>
      </c>
      <c r="P377" s="4" t="str">
        <f>"44654"</f>
        <v>44654</v>
      </c>
      <c r="Q377" s="4" t="s">
        <v>24</v>
      </c>
      <c r="R377" s="6">
        <v>44196</v>
      </c>
      <c r="S377" s="4" t="s">
        <v>72</v>
      </c>
    </row>
    <row r="378" spans="1:19" s="3" customFormat="1" ht="43.2" x14ac:dyDescent="0.3">
      <c r="A378" s="4" t="str">
        <f>"CB001QEA"</f>
        <v>CB001QEA</v>
      </c>
      <c r="B378" s="4"/>
      <c r="C378" s="4" t="s">
        <v>596</v>
      </c>
      <c r="D378" s="4" t="s">
        <v>59</v>
      </c>
      <c r="E378" s="4" t="s">
        <v>1114</v>
      </c>
      <c r="F378" s="4" t="s">
        <v>65</v>
      </c>
      <c r="G378" s="4" t="s">
        <v>23</v>
      </c>
      <c r="H378" s="4" t="str">
        <f>"44624"</f>
        <v>44624</v>
      </c>
      <c r="I378" s="4" t="s">
        <v>52</v>
      </c>
      <c r="J378" s="4" t="str">
        <f>"(M) 330-275-7564"</f>
        <v>(M) 330-275-7564</v>
      </c>
      <c r="K378" s="4"/>
      <c r="L378" s="4" t="s">
        <v>902</v>
      </c>
      <c r="M378" s="4" t="s">
        <v>1114</v>
      </c>
      <c r="N378" s="4" t="s">
        <v>65</v>
      </c>
      <c r="O378" s="4" t="s">
        <v>23</v>
      </c>
      <c r="P378" s="4" t="str">
        <f>"44624"</f>
        <v>44624</v>
      </c>
      <c r="Q378" s="4" t="s">
        <v>52</v>
      </c>
      <c r="R378" s="6">
        <v>44196</v>
      </c>
      <c r="S378" s="4" t="s">
        <v>72</v>
      </c>
    </row>
    <row r="379" spans="1:19" s="3" customFormat="1" ht="43.2" x14ac:dyDescent="0.3">
      <c r="A379" s="4" t="str">
        <f>"CB0027E4"</f>
        <v>CB0027E4</v>
      </c>
      <c r="B379" s="4" t="s">
        <v>1280</v>
      </c>
      <c r="C379" s="4" t="s">
        <v>596</v>
      </c>
      <c r="D379" s="4" t="s">
        <v>864</v>
      </c>
      <c r="E379" s="4" t="s">
        <v>1281</v>
      </c>
      <c r="F379" s="4" t="s">
        <v>99</v>
      </c>
      <c r="G379" s="4" t="s">
        <v>23</v>
      </c>
      <c r="H379" s="4" t="str">
        <f>"43824"</f>
        <v>43824</v>
      </c>
      <c r="I379" s="4" t="s">
        <v>134</v>
      </c>
      <c r="J379" s="4" t="str">
        <f>"(P) 330-897-1457"</f>
        <v>(P) 330-897-1457</v>
      </c>
      <c r="K379" s="4"/>
      <c r="L379" s="4" t="s">
        <v>219</v>
      </c>
      <c r="M379" s="4" t="s">
        <v>1281</v>
      </c>
      <c r="N379" s="4" t="s">
        <v>99</v>
      </c>
      <c r="O379" s="4" t="s">
        <v>23</v>
      </c>
      <c r="P379" s="4" t="str">
        <f>"43824"</f>
        <v>43824</v>
      </c>
      <c r="Q379" s="4" t="s">
        <v>134</v>
      </c>
      <c r="R379" s="6">
        <v>44196</v>
      </c>
      <c r="S379" s="4" t="s">
        <v>46</v>
      </c>
    </row>
    <row r="380" spans="1:19" s="3" customFormat="1" ht="43.2" x14ac:dyDescent="0.3">
      <c r="A380" s="4" t="str">
        <f>"CB002B2C"</f>
        <v>CB002B2C</v>
      </c>
      <c r="B380" s="4"/>
      <c r="C380" s="4" t="s">
        <v>596</v>
      </c>
      <c r="D380" s="4" t="s">
        <v>1217</v>
      </c>
      <c r="E380" s="4" t="s">
        <v>1361</v>
      </c>
      <c r="F380" s="4" t="s">
        <v>87</v>
      </c>
      <c r="G380" s="4" t="s">
        <v>23</v>
      </c>
      <c r="H380" s="4" t="str">
        <f>"44878"</f>
        <v>44878</v>
      </c>
      <c r="I380" s="4" t="s">
        <v>88</v>
      </c>
      <c r="J380" s="4" t="str">
        <f>"(P) 419-895-0020 (F) 419-895-1244"</f>
        <v>(P) 419-895-0020 (F) 419-895-1244</v>
      </c>
      <c r="K380" s="4"/>
      <c r="L380" s="4" t="s">
        <v>148</v>
      </c>
      <c r="M380" s="4" t="s">
        <v>1361</v>
      </c>
      <c r="N380" s="4" t="s">
        <v>87</v>
      </c>
      <c r="O380" s="4" t="s">
        <v>23</v>
      </c>
      <c r="P380" s="4" t="str">
        <f>"44878"</f>
        <v>44878</v>
      </c>
      <c r="Q380" s="4" t="s">
        <v>88</v>
      </c>
      <c r="R380" s="6">
        <v>44196</v>
      </c>
      <c r="S380" s="4" t="s">
        <v>46</v>
      </c>
    </row>
    <row r="381" spans="1:19" s="3" customFormat="1" ht="43.2" x14ac:dyDescent="0.3">
      <c r="A381" s="4" t="str">
        <f>"CB002CEH"</f>
        <v>CB002CEH</v>
      </c>
      <c r="B381" s="4"/>
      <c r="C381" s="4" t="s">
        <v>596</v>
      </c>
      <c r="D381" s="4" t="s">
        <v>59</v>
      </c>
      <c r="E381" s="4" t="s">
        <v>1411</v>
      </c>
      <c r="F381" s="4" t="s">
        <v>74</v>
      </c>
      <c r="G381" s="4" t="s">
        <v>23</v>
      </c>
      <c r="H381" s="4" t="str">
        <f>"44681"</f>
        <v>44681</v>
      </c>
      <c r="I381" s="4" t="s">
        <v>66</v>
      </c>
      <c r="J381" s="4" t="str">
        <f>"(P) 330-893-3262"</f>
        <v>(P) 330-893-3262</v>
      </c>
      <c r="K381" s="4"/>
      <c r="L381" s="4" t="s">
        <v>862</v>
      </c>
      <c r="M381" s="4" t="s">
        <v>1411</v>
      </c>
      <c r="N381" s="4" t="s">
        <v>74</v>
      </c>
      <c r="O381" s="4" t="s">
        <v>23</v>
      </c>
      <c r="P381" s="4" t="str">
        <f>"44681"</f>
        <v>44681</v>
      </c>
      <c r="Q381" s="4" t="s">
        <v>66</v>
      </c>
      <c r="R381" s="6">
        <v>44196</v>
      </c>
      <c r="S381" s="4" t="s">
        <v>46</v>
      </c>
    </row>
    <row r="382" spans="1:19" s="3" customFormat="1" ht="43.2" x14ac:dyDescent="0.3">
      <c r="A382" s="4" t="str">
        <f>"CB000XQ3"</f>
        <v>CB000XQ3</v>
      </c>
      <c r="B382" s="4" t="s">
        <v>631</v>
      </c>
      <c r="C382" s="4" t="s">
        <v>632</v>
      </c>
      <c r="D382" s="4" t="s">
        <v>20</v>
      </c>
      <c r="E382" s="4" t="s">
        <v>633</v>
      </c>
      <c r="F382" s="4" t="s">
        <v>74</v>
      </c>
      <c r="G382" s="4" t="s">
        <v>23</v>
      </c>
      <c r="H382" s="4" t="str">
        <f>"44681"</f>
        <v>44681</v>
      </c>
      <c r="I382" s="4" t="s">
        <v>24</v>
      </c>
      <c r="J382" s="4" t="str">
        <f>"(P) 330-852-1302 (M) 330-650-0479"</f>
        <v>(P) 330-852-1302 (M) 330-650-0479</v>
      </c>
      <c r="K382" s="4"/>
      <c r="L382" s="4" t="s">
        <v>752</v>
      </c>
      <c r="M382" s="4" t="s">
        <v>633</v>
      </c>
      <c r="N382" s="4" t="s">
        <v>74</v>
      </c>
      <c r="O382" s="4" t="s">
        <v>23</v>
      </c>
      <c r="P382" s="4" t="str">
        <f>"44681"</f>
        <v>44681</v>
      </c>
      <c r="Q382" s="4" t="s">
        <v>24</v>
      </c>
      <c r="R382" s="6">
        <v>44196</v>
      </c>
      <c r="S382" s="4" t="s">
        <v>35</v>
      </c>
    </row>
    <row r="383" spans="1:19" s="3" customFormat="1" ht="43.2" x14ac:dyDescent="0.3">
      <c r="A383" s="4" t="str">
        <f>"CB0012PE"</f>
        <v>CB0012PE</v>
      </c>
      <c r="B383" s="4" t="s">
        <v>684</v>
      </c>
      <c r="C383" s="4" t="s">
        <v>632</v>
      </c>
      <c r="D383" s="4" t="s">
        <v>93</v>
      </c>
      <c r="E383" s="4" t="s">
        <v>685</v>
      </c>
      <c r="F383" s="4" t="s">
        <v>87</v>
      </c>
      <c r="G383" s="4" t="s">
        <v>23</v>
      </c>
      <c r="H383" s="4" t="str">
        <f>"44878"</f>
        <v>44878</v>
      </c>
      <c r="I383" s="4" t="s">
        <v>88</v>
      </c>
      <c r="J383" s="4" t="str">
        <f>"(P) 419-526-0060 (M) 419-571-8849"</f>
        <v>(P) 419-526-0060 (M) 419-571-8849</v>
      </c>
      <c r="K383" s="4" t="s">
        <v>686</v>
      </c>
      <c r="L383" s="4" t="s">
        <v>1237</v>
      </c>
      <c r="M383" s="4" t="s">
        <v>685</v>
      </c>
      <c r="N383" s="4" t="s">
        <v>87</v>
      </c>
      <c r="O383" s="4" t="s">
        <v>23</v>
      </c>
      <c r="P383" s="4" t="str">
        <f>"44878"</f>
        <v>44878</v>
      </c>
      <c r="Q383" s="4" t="s">
        <v>88</v>
      </c>
      <c r="R383" s="6">
        <v>44196</v>
      </c>
      <c r="S383" s="4" t="s">
        <v>46</v>
      </c>
    </row>
    <row r="384" spans="1:19" s="3" customFormat="1" ht="43.2" x14ac:dyDescent="0.3">
      <c r="A384" s="4" t="str">
        <f>"CB0017SM"</f>
        <v>CB0017SM</v>
      </c>
      <c r="B384" s="4"/>
      <c r="C384" s="4" t="s">
        <v>632</v>
      </c>
      <c r="D384" s="4" t="s">
        <v>38</v>
      </c>
      <c r="E384" s="4" t="s">
        <v>776</v>
      </c>
      <c r="F384" s="4" t="s">
        <v>420</v>
      </c>
      <c r="G384" s="4" t="s">
        <v>23</v>
      </c>
      <c r="H384" s="4" t="str">
        <f>"43843"</f>
        <v>43843</v>
      </c>
      <c r="I384" s="4" t="s">
        <v>505</v>
      </c>
      <c r="J384" s="4" t="str">
        <f>"(F) 740-427-3355 (M) 740-427-3053"</f>
        <v>(F) 740-427-3355 (M) 740-427-3053</v>
      </c>
      <c r="K384" s="4"/>
      <c r="L384" s="4" t="s">
        <v>435</v>
      </c>
      <c r="M384" s="4" t="s">
        <v>778</v>
      </c>
      <c r="N384" s="4" t="s">
        <v>779</v>
      </c>
      <c r="O384" s="4" t="s">
        <v>23</v>
      </c>
      <c r="P384" s="4" t="str">
        <f>"43843"</f>
        <v>43843</v>
      </c>
      <c r="Q384" s="4" t="s">
        <v>505</v>
      </c>
      <c r="R384" s="6">
        <v>44196</v>
      </c>
      <c r="S384" s="4" t="s">
        <v>76</v>
      </c>
    </row>
    <row r="385" spans="1:19" s="3" customFormat="1" ht="43.2" x14ac:dyDescent="0.3">
      <c r="A385" s="4" t="str">
        <f>"CB0018LV"</f>
        <v>CB0018LV</v>
      </c>
      <c r="B385" s="4" t="s">
        <v>789</v>
      </c>
      <c r="C385" s="4" t="s">
        <v>632</v>
      </c>
      <c r="D385" s="4" t="s">
        <v>20</v>
      </c>
      <c r="E385" s="4" t="s">
        <v>790</v>
      </c>
      <c r="F385" s="4" t="s">
        <v>40</v>
      </c>
      <c r="G385" s="4" t="s">
        <v>23</v>
      </c>
      <c r="H385" s="4" t="str">
        <f>"44654"</f>
        <v>44654</v>
      </c>
      <c r="I385" s="4" t="s">
        <v>24</v>
      </c>
      <c r="J385" s="4" t="str">
        <f>"(M) 330-231-7471"</f>
        <v>(M) 330-231-7471</v>
      </c>
      <c r="K385" s="4"/>
      <c r="L385" s="4" t="s">
        <v>343</v>
      </c>
      <c r="M385" s="4" t="s">
        <v>790</v>
      </c>
      <c r="N385" s="4" t="s">
        <v>40</v>
      </c>
      <c r="O385" s="4" t="s">
        <v>23</v>
      </c>
      <c r="P385" s="4" t="str">
        <f>"44654"</f>
        <v>44654</v>
      </c>
      <c r="Q385" s="4" t="s">
        <v>24</v>
      </c>
      <c r="R385" s="6">
        <v>44196</v>
      </c>
      <c r="S385" s="4" t="s">
        <v>35</v>
      </c>
    </row>
    <row r="386" spans="1:19" s="3" customFormat="1" ht="43.2" x14ac:dyDescent="0.3">
      <c r="A386" s="4" t="str">
        <f>"CB001CR3"</f>
        <v>CB001CR3</v>
      </c>
      <c r="B386" s="4"/>
      <c r="C386" s="4" t="s">
        <v>632</v>
      </c>
      <c r="D386" s="4" t="s">
        <v>49</v>
      </c>
      <c r="E386" s="4" t="s">
        <v>853</v>
      </c>
      <c r="F386" s="4" t="s">
        <v>74</v>
      </c>
      <c r="G386" s="4" t="s">
        <v>23</v>
      </c>
      <c r="H386" s="4" t="str">
        <f>"44681"</f>
        <v>44681</v>
      </c>
      <c r="I386" s="4" t="s">
        <v>24</v>
      </c>
      <c r="J386" s="4" t="str">
        <f>"(M) 330-852-2383"</f>
        <v>(M) 330-852-2383</v>
      </c>
      <c r="K386" s="4"/>
      <c r="L386" s="4" t="s">
        <v>471</v>
      </c>
      <c r="M386" s="4" t="s">
        <v>853</v>
      </c>
      <c r="N386" s="4" t="s">
        <v>74</v>
      </c>
      <c r="O386" s="4" t="s">
        <v>23</v>
      </c>
      <c r="P386" s="4" t="str">
        <f>"44681"</f>
        <v>44681</v>
      </c>
      <c r="Q386" s="4" t="s">
        <v>24</v>
      </c>
      <c r="R386" s="6">
        <v>44196</v>
      </c>
      <c r="S386" s="4" t="s">
        <v>46</v>
      </c>
    </row>
    <row r="387" spans="1:19" s="3" customFormat="1" ht="43.2" x14ac:dyDescent="0.3">
      <c r="A387" s="4" t="str">
        <f>"CB001RQK"</f>
        <v>CB001RQK</v>
      </c>
      <c r="B387" s="4"/>
      <c r="C387" s="4" t="s">
        <v>632</v>
      </c>
      <c r="D387" s="4" t="s">
        <v>1136</v>
      </c>
      <c r="E387" s="4" t="s">
        <v>1137</v>
      </c>
      <c r="F387" s="4" t="s">
        <v>613</v>
      </c>
      <c r="G387" s="4" t="s">
        <v>23</v>
      </c>
      <c r="H387" s="4" t="str">
        <f>"44618"</f>
        <v>44618</v>
      </c>
      <c r="I387" s="4" t="s">
        <v>52</v>
      </c>
      <c r="J387" s="4" t="str">
        <f>"(P) 330-988-0038"</f>
        <v>(P) 330-988-0038</v>
      </c>
      <c r="K387" s="4"/>
      <c r="L387" s="4" t="s">
        <v>1318</v>
      </c>
      <c r="M387" s="4" t="s">
        <v>1139</v>
      </c>
      <c r="N387" s="4" t="s">
        <v>51</v>
      </c>
      <c r="O387" s="4" t="s">
        <v>23</v>
      </c>
      <c r="P387" s="4" t="str">
        <f>"44606"</f>
        <v>44606</v>
      </c>
      <c r="Q387" s="4" t="s">
        <v>52</v>
      </c>
      <c r="R387" s="6">
        <v>44196</v>
      </c>
      <c r="S387" s="4" t="s">
        <v>76</v>
      </c>
    </row>
    <row r="388" spans="1:19" s="3" customFormat="1" ht="43.2" x14ac:dyDescent="0.3">
      <c r="A388" s="4" t="str">
        <f>"CB001SAA"</f>
        <v>CB001SAA</v>
      </c>
      <c r="B388" s="4" t="s">
        <v>1151</v>
      </c>
      <c r="C388" s="4" t="s">
        <v>632</v>
      </c>
      <c r="D388" s="4" t="s">
        <v>864</v>
      </c>
      <c r="E388" s="4" t="s">
        <v>1152</v>
      </c>
      <c r="F388" s="4" t="s">
        <v>111</v>
      </c>
      <c r="G388" s="4" t="s">
        <v>23</v>
      </c>
      <c r="H388" s="4" t="str">
        <f>"44627"</f>
        <v>44627</v>
      </c>
      <c r="I388" s="4" t="s">
        <v>24</v>
      </c>
      <c r="J388" s="4" t="str">
        <f>"(P) 330-275-4132 (M) 330-473-2416"</f>
        <v>(P) 330-275-4132 (M) 330-473-2416</v>
      </c>
      <c r="K388" s="4"/>
      <c r="L388" s="4" t="s">
        <v>438</v>
      </c>
      <c r="M388" s="4" t="s">
        <v>1152</v>
      </c>
      <c r="N388" s="4" t="s">
        <v>111</v>
      </c>
      <c r="O388" s="4" t="s">
        <v>23</v>
      </c>
      <c r="P388" s="4" t="str">
        <f>"44627"</f>
        <v>44627</v>
      </c>
      <c r="Q388" s="4" t="s">
        <v>24</v>
      </c>
      <c r="R388" s="6">
        <v>44196</v>
      </c>
      <c r="S388" s="4" t="s">
        <v>46</v>
      </c>
    </row>
    <row r="389" spans="1:19" s="3" customFormat="1" ht="43.2" x14ac:dyDescent="0.3">
      <c r="A389" s="4" t="str">
        <f>"CB002BGH"</f>
        <v>CB002BGH</v>
      </c>
      <c r="B389" s="4" t="s">
        <v>1376</v>
      </c>
      <c r="C389" s="4" t="s">
        <v>632</v>
      </c>
      <c r="D389" s="4" t="s">
        <v>20</v>
      </c>
      <c r="E389" s="4" t="s">
        <v>1377</v>
      </c>
      <c r="F389" s="4" t="s">
        <v>40</v>
      </c>
      <c r="G389" s="4" t="s">
        <v>23</v>
      </c>
      <c r="H389" s="4" t="str">
        <f>"44654"</f>
        <v>44654</v>
      </c>
      <c r="I389" s="4" t="s">
        <v>24</v>
      </c>
      <c r="J389" s="4" t="str">
        <f>"(P) 330-893-2180"</f>
        <v>(P) 330-893-2180</v>
      </c>
      <c r="K389" s="4"/>
      <c r="L389" s="4" t="s">
        <v>1059</v>
      </c>
      <c r="M389" s="4" t="s">
        <v>1377</v>
      </c>
      <c r="N389" s="4" t="s">
        <v>40</v>
      </c>
      <c r="O389" s="4" t="s">
        <v>23</v>
      </c>
      <c r="P389" s="4" t="str">
        <f>"44654"</f>
        <v>44654</v>
      </c>
      <c r="Q389" s="4" t="s">
        <v>24</v>
      </c>
      <c r="R389" s="6">
        <v>44196</v>
      </c>
      <c r="S389" s="4" t="s">
        <v>76</v>
      </c>
    </row>
    <row r="390" spans="1:19" s="3" customFormat="1" ht="43.2" x14ac:dyDescent="0.3">
      <c r="A390" s="4" t="str">
        <f>"CB0008VK"</f>
        <v>CB0008VK</v>
      </c>
      <c r="B390" s="4" t="s">
        <v>447</v>
      </c>
      <c r="C390" s="4" t="s">
        <v>448</v>
      </c>
      <c r="D390" s="4" t="s">
        <v>55</v>
      </c>
      <c r="E390" s="4" t="s">
        <v>449</v>
      </c>
      <c r="F390" s="4" t="s">
        <v>99</v>
      </c>
      <c r="G390" s="4" t="s">
        <v>23</v>
      </c>
      <c r="H390" s="4" t="str">
        <f>"43824"</f>
        <v>43824</v>
      </c>
      <c r="I390" s="4" t="s">
        <v>134</v>
      </c>
      <c r="J390" s="4" t="str">
        <f>"(M) 740-622-0213"</f>
        <v>(M) 740-622-0213</v>
      </c>
      <c r="K390" s="4"/>
      <c r="L390" s="4" t="s">
        <v>990</v>
      </c>
      <c r="M390" s="4" t="s">
        <v>449</v>
      </c>
      <c r="N390" s="4" t="s">
        <v>99</v>
      </c>
      <c r="O390" s="4" t="s">
        <v>23</v>
      </c>
      <c r="P390" s="4" t="str">
        <f>"43824"</f>
        <v>43824</v>
      </c>
      <c r="Q390" s="4" t="s">
        <v>134</v>
      </c>
      <c r="R390" s="6">
        <v>44196</v>
      </c>
      <c r="S390" s="4" t="s">
        <v>76</v>
      </c>
    </row>
    <row r="391" spans="1:19" s="3" customFormat="1" ht="43.2" x14ac:dyDescent="0.3">
      <c r="A391" s="4" t="str">
        <f>"CB0017G8"</f>
        <v>CB0017G8</v>
      </c>
      <c r="B391" s="4"/>
      <c r="C391" s="4" t="s">
        <v>448</v>
      </c>
      <c r="D391" s="4" t="s">
        <v>546</v>
      </c>
      <c r="E391" s="4" t="s">
        <v>767</v>
      </c>
      <c r="F391" s="4" t="s">
        <v>99</v>
      </c>
      <c r="G391" s="4" t="s">
        <v>23</v>
      </c>
      <c r="H391" s="4" t="str">
        <f>"43824"</f>
        <v>43824</v>
      </c>
      <c r="I391" s="4" t="s">
        <v>134</v>
      </c>
      <c r="J391" s="4" t="str">
        <f>"(M) 330-231-8303"</f>
        <v>(M) 330-231-8303</v>
      </c>
      <c r="K391" s="4"/>
      <c r="L391" s="4" t="s">
        <v>468</v>
      </c>
      <c r="M391" s="4" t="s">
        <v>767</v>
      </c>
      <c r="N391" s="4" t="s">
        <v>99</v>
      </c>
      <c r="O391" s="4" t="s">
        <v>23</v>
      </c>
      <c r="P391" s="4" t="str">
        <f>"43824"</f>
        <v>43824</v>
      </c>
      <c r="Q391" s="4" t="s">
        <v>134</v>
      </c>
      <c r="R391" s="6">
        <v>44196</v>
      </c>
      <c r="S391" s="4" t="s">
        <v>46</v>
      </c>
    </row>
    <row r="392" spans="1:19" s="3" customFormat="1" ht="43.2" x14ac:dyDescent="0.3">
      <c r="A392" s="4" t="str">
        <f>"CB002AXS"</f>
        <v>CB002AXS</v>
      </c>
      <c r="B392" s="4" t="s">
        <v>1354</v>
      </c>
      <c r="C392" s="4" t="s">
        <v>1355</v>
      </c>
      <c r="D392" s="4" t="s">
        <v>93</v>
      </c>
      <c r="E392" s="4" t="s">
        <v>1356</v>
      </c>
      <c r="F392" s="4" t="s">
        <v>74</v>
      </c>
      <c r="G392" s="4" t="s">
        <v>23</v>
      </c>
      <c r="H392" s="4" t="str">
        <f>"44681"</f>
        <v>44681</v>
      </c>
      <c r="I392" s="4" t="s">
        <v>24</v>
      </c>
      <c r="J392" s="4" t="str">
        <f>"(P) 330-275-6200 (M) 330-340-8827"</f>
        <v>(P) 330-275-6200 (M) 330-340-8827</v>
      </c>
      <c r="K392" s="4" t="s">
        <v>1357</v>
      </c>
      <c r="L392" s="4" t="s">
        <v>618</v>
      </c>
      <c r="M392" s="4" t="s">
        <v>1356</v>
      </c>
      <c r="N392" s="4" t="s">
        <v>74</v>
      </c>
      <c r="O392" s="4" t="s">
        <v>23</v>
      </c>
      <c r="P392" s="4" t="str">
        <f>"44681"</f>
        <v>44681</v>
      </c>
      <c r="Q392" s="4" t="s">
        <v>24</v>
      </c>
      <c r="R392" s="6">
        <v>44196</v>
      </c>
      <c r="S392" s="4" t="s">
        <v>46</v>
      </c>
    </row>
    <row r="393" spans="1:19" s="3" customFormat="1" ht="43.2" x14ac:dyDescent="0.3">
      <c r="A393" s="4" t="str">
        <f>"CB001L3D"</f>
        <v>CB001L3D</v>
      </c>
      <c r="B393" s="4"/>
      <c r="C393" s="4" t="s">
        <v>977</v>
      </c>
      <c r="D393" s="4" t="s">
        <v>49</v>
      </c>
      <c r="E393" s="4" t="s">
        <v>978</v>
      </c>
      <c r="F393" s="4" t="s">
        <v>99</v>
      </c>
      <c r="G393" s="4" t="s">
        <v>23</v>
      </c>
      <c r="H393" s="4" t="str">
        <f>"43824"</f>
        <v>43824</v>
      </c>
      <c r="I393" s="4" t="s">
        <v>134</v>
      </c>
      <c r="J393" s="4" t="str">
        <f>"(P) 330-897-7403"</f>
        <v>(P) 330-897-7403</v>
      </c>
      <c r="K393" s="4"/>
      <c r="L393" s="4" t="s">
        <v>1219</v>
      </c>
      <c r="M393" s="4" t="s">
        <v>978</v>
      </c>
      <c r="N393" s="4" t="s">
        <v>99</v>
      </c>
      <c r="O393" s="4" t="s">
        <v>23</v>
      </c>
      <c r="P393" s="4" t="str">
        <f>"43824"</f>
        <v>43824</v>
      </c>
      <c r="Q393" s="4" t="s">
        <v>134</v>
      </c>
      <c r="R393" s="6">
        <v>44196</v>
      </c>
      <c r="S393" s="4" t="s">
        <v>46</v>
      </c>
    </row>
  </sheetData>
  <sortState ref="L2:L393">
    <sortCondition ref="L1"/>
  </sortState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DataToExcel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Kellie DiFrischia</cp:lastModifiedBy>
  <dcterms:created xsi:type="dcterms:W3CDTF">2020-02-20T16:51:52Z</dcterms:created>
  <dcterms:modified xsi:type="dcterms:W3CDTF">2020-06-18T22:06:23Z</dcterms:modified>
</cp:coreProperties>
</file>